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2000" windowHeight="5160" tabRatio="593" activeTab="0"/>
  </bookViews>
  <sheets>
    <sheet name="Haberes jubilados" sheetId="1" r:id="rId1"/>
    <sheet name="para varios cargos" sheetId="2" state="hidden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jubilados'!$C$151</definedName>
    <definedName name="cargosproljor">'Haberes jubilados'!#REF!</definedName>
    <definedName name="cod022feb07">'Haberes jubilados'!$I$57</definedName>
    <definedName name="cod06ago07">'Haberes jubilados'!$K$55</definedName>
    <definedName name="cod06ago07varios1">'para varios cargos'!#REF!</definedName>
    <definedName name="cod06ago07varios2">'para varios cargos'!#REF!</definedName>
    <definedName name="cod06ago07varios3">'para varios cargos'!#REF!</definedName>
    <definedName name="cod06ago07varios4">'para varios cargos'!#REF!</definedName>
    <definedName name="cod06ago08">'Haberes jubilados'!$M$58</definedName>
    <definedName name="cod06cargo120">'Haberes jubilados'!$C$51</definedName>
    <definedName name="cod06cargos">'Haberes jubilados'!$C$80:$C$91</definedName>
    <definedName name="cod06cargosago08">'Haberes jubilados'!$C$96:$C$107</definedName>
    <definedName name="cod06cargosdic08">'Haberes jubilados'!$C$126:$C$137</definedName>
    <definedName name="cod06cargosoct08">'Haberes jubilados'!$C$111:$C$122</definedName>
    <definedName name="cod06cargosvar1">'para varios cargos'!$F$5:$F$16</definedName>
    <definedName name="cod06cargosvar2">'para varios cargos'!$F$65:$F$76</definedName>
    <definedName name="cod06cargosvar3">'para varios cargos'!$F$128:$F$139</definedName>
    <definedName name="cod06cargosvar4">'para varios cargos'!$F$193:$F$204</definedName>
    <definedName name="cod06dic08">'Haberes jubilados'!$M$60</definedName>
    <definedName name="cod06feb07">'Haberes jubilados'!$I$55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horas">'Haberes jubilados'!$C$53</definedName>
    <definedName name="cod06med">'[1]Prop 24 feb 06'!$D$71</definedName>
    <definedName name="cod06medago07">'Haberes jubilados'!$K$65</definedName>
    <definedName name="cod06medfeb07">'Haberes jubilados'!$I$65</definedName>
    <definedName name="cod06medsep07">'Haberes jubilados'!$M$65</definedName>
    <definedName name="cod06oct08">'Haberes jubilados'!$M$59</definedName>
    <definedName name="cod06sep07">'Haberes jubilados'!$M$55</definedName>
    <definedName name="cod06sep07varios1">'para varios cargos'!$G$18</definedName>
    <definedName name="cod06sep07varios2">'para varios cargos'!$G$78</definedName>
    <definedName name="cod06sep07varios3">'para varios cargos'!$G$141</definedName>
    <definedName name="cod06sep07varios4">'para varios cargos'!$G$206</definedName>
    <definedName name="cod06sup">'[1]Prop 24 feb 06'!$D$77</definedName>
    <definedName name="cod06supago07">'Haberes jubilados'!$K$71</definedName>
    <definedName name="cod06supfeb07">'Haberes jubilados'!$I$71</definedName>
    <definedName name="cod06supsep07">'Haberes jubilados'!$M$71</definedName>
    <definedName name="cod17feb07">'Haberes jubilados'!$I$53</definedName>
    <definedName name="cod17medfeb07">'Haberes jubilados'!$I$66</definedName>
    <definedName name="cod17supfeb07">'Haberes jubilados'!$I$72</definedName>
    <definedName name="cod22medfeb07">'Haberes jubilados'!$I$64</definedName>
    <definedName name="cod22supfeb07">'Haberes jubilados'!$I$70</definedName>
    <definedName name="cod38feb07">'Haberes jubilados'!$I$54</definedName>
    <definedName name="cod38med">'Haberes jubilados'!$C$54</definedName>
    <definedName name="cod38medfeb07">'Haberes jubilados'!$I$63</definedName>
    <definedName name="cod38sup">'Haberes jubilados'!$C$55</definedName>
    <definedName name="cod38supfeb07">'Haberes jubilados'!$I$69</definedName>
    <definedName name="compbasico">'Haberes jubilados'!$F$154</definedName>
    <definedName name="compbasicovarios1">'para varios cargos'!$I$24</definedName>
    <definedName name="compbasicovarios2">'para varios cargos'!$I$84</definedName>
    <definedName name="compbasicovarios3">'para varios cargos'!$I$148</definedName>
    <definedName name="compbasicovarios4">'para varios cargos'!$I$213</definedName>
    <definedName name="cuartocargo">'para varios cargos'!$E$210</definedName>
    <definedName name="frac">'Haberes jubilados'!$F$157</definedName>
    <definedName name="frac1">'para varios cargos'!$I$27</definedName>
    <definedName name="frac2">'para varios cargos'!$I$87</definedName>
    <definedName name="frac3">'para varios cargos'!$I$151</definedName>
    <definedName name="frac4">'para varios cargos'!$I$216</definedName>
    <definedName name="horasmedia">'Haberes jubilados'!$B$194</definedName>
    <definedName name="horassuperior">'Haberes jubilados'!$B$226</definedName>
    <definedName name="indiceago07">'Haberes jubilados'!$K$50</definedName>
    <definedName name="indiceago08">'Haberes jubilados'!$S$50</definedName>
    <definedName name="indicedic08">'Haberes jubilados'!$S$52</definedName>
    <definedName name="indicefeb07">'Haberes jubilados'!$I$50</definedName>
    <definedName name="indicejul08">'Haberes jubilados'!$Q$50</definedName>
    <definedName name="indicemar08">'Haberes jubilados'!$O$50</definedName>
    <definedName name="indiceoct08">'Haberes jubilados'!$S$51</definedName>
    <definedName name="indiceproljor">'Haberes jubilados'!$C$52</definedName>
    <definedName name="indicesep07">'Haberes jubilados'!$M$50</definedName>
    <definedName name="indicesept07">'Haberes jubilados'!$M$50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jubilados'!$E$50</definedName>
    <definedName name="nuevocod06cargo">'Haberes jubilados'!$E$51</definedName>
    <definedName name="nuevocod06cargovarios">'para varios cargos'!#REF!</definedName>
    <definedName name="nuevocod06horas">'Haberes jubilados'!$E$53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jubilados'!$E$54</definedName>
    <definedName name="nuevocod38sup">'Haberes jubilados'!$E$55</definedName>
    <definedName name="nuevoindproljor">'Haberes jubilados'!$E$52</definedName>
    <definedName name="nuevoproljornada">'[1]Prop 24 feb 06'!$G$63</definedName>
    <definedName name="nuevopuntoindice">'Haberes jubilados'!$E$49</definedName>
    <definedName name="nuevopuntoíndice">'[1]Prop 24 feb 06'!$G$57</definedName>
    <definedName name="numerocargo">'Cargos'!$A$3:$A$314</definedName>
    <definedName name="numhorasmed">'Haberes jubilados'!$D$196</definedName>
    <definedName name="numhorassup">'Haberes jubilados'!$D$228</definedName>
    <definedName name="porant">'Haberes jubilados'!$B$80:$B$91</definedName>
    <definedName name="porantvar1">'para varios cargos'!$E$5:$E$16</definedName>
    <definedName name="porantvar2">'para varios cargos'!$E$65:$E$76</definedName>
    <definedName name="porantvar3">'para varios cargos'!$E$128:$E$139</definedName>
    <definedName name="porantvar4">'para varios cargos'!$E$193:$E$204</definedName>
    <definedName name="porcantigcargo">'Haberes jubilados'!$D$162</definedName>
    <definedName name="porcantighorasmed">'Haberes jubilados'!$D$197</definedName>
    <definedName name="porcantigsup">'Haberes jubilados'!$D$229</definedName>
    <definedName name="porczona">'Haberes jubilados'!$C$159</definedName>
    <definedName name="primercargo">'para varios cargos'!$E$21</definedName>
    <definedName name="proljorago07">'Haberes jubilados'!$K$56</definedName>
    <definedName name="proljorago08">'Haberes jubilados'!$S$56</definedName>
    <definedName name="proljorcargo">'Cargos'!$F$3:$F$314</definedName>
    <definedName name="proljordic08">'Haberes jubilados'!$S$58</definedName>
    <definedName name="proljorfeb07">'Haberes jubilados'!$I$56</definedName>
    <definedName name="proljorjul08">'Haberes jubilados'!$Q$56</definedName>
    <definedName name="proljormar08">'Haberes jubilados'!$O$56</definedName>
    <definedName name="proljoroct08">'Haberes jubilados'!$S$57</definedName>
    <definedName name="proljorsep07">'Haberes jubilados'!$M$56</definedName>
    <definedName name="punbasjub">'Haberes jubilados'!$D$164</definedName>
    <definedName name="punbasjubvarios1">'para varios cargos'!$F$34</definedName>
    <definedName name="punbasjubvarios2">'para varios cargos'!$F$95</definedName>
    <definedName name="punbasjubvarios3">'para varios cargos'!$F$159</definedName>
    <definedName name="punbasjubvarios4">'para varios cargos'!$F$224</definedName>
    <definedName name="punproljor">'Haberes jubilados'!$G$196</definedName>
    <definedName name="punto_índice">'[1]Prop 24 feb 06'!$D$57</definedName>
    <definedName name="puntoindice">'Haberes jubilados'!$C$49</definedName>
    <definedName name="PUNTOSbasicos">'Haberes jubilados'!$A$182</definedName>
    <definedName name="puntosbasicoscargo">'Cargos'!$C$3:$C$314</definedName>
    <definedName name="puntoscompbasico">'Cargos'!$D$3:$D$313</definedName>
    <definedName name="puntosproljor">'Haberes jubilados'!$G$164</definedName>
    <definedName name="puntosproljorvarios1">'para varios cargos'!$I$34</definedName>
    <definedName name="puntosproljorvarios2">'para varios cargos'!$I$95</definedName>
    <definedName name="puntosproljorvarios3">'para varios cargos'!$I$159</definedName>
    <definedName name="puntosproljorvarios4">'para varios cargos'!$I$224</definedName>
    <definedName name="puntostotalhorassup">'Haberes jubilados'!$D$231</definedName>
    <definedName name="puntotalhorasmed">'Haberes jubilados'!$D$199</definedName>
    <definedName name="recibofinal">'para varios cargos'!$G$253</definedName>
    <definedName name="salminimofeb07">'Haberes jubilados'!$I$58</definedName>
    <definedName name="salminjorcom">'Haberes jubilados'!$H$69</definedName>
    <definedName name="segundocargo">'para varios cargos'!$E$81</definedName>
    <definedName name="tardifcargo">'Cargos'!$E$3:$E$314</definedName>
    <definedName name="tercercargo">'para varios cargos'!$E$145</definedName>
    <definedName name="valor_cod_038">'[1]Prop 24 feb 06'!$D$61</definedName>
    <definedName name="valor_prol_jor">'[1]Prop 24 feb 06'!$D$63</definedName>
    <definedName name="valorcod038">'Haberes jubilados'!$C$50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5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5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6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8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5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21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1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2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sharedStrings.xml><?xml version="1.0" encoding="utf-8"?>
<sst xmlns="http://schemas.openxmlformats.org/spreadsheetml/2006/main" count="1346" uniqueCount="501">
  <si>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</si>
  <si>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</si>
  <si>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</si>
  <si>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</si>
  <si>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</si>
  <si>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</si>
  <si>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</si>
  <si>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</si>
  <si>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</si>
  <si>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</si>
  <si>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</si>
  <si>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</si>
  <si>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</si>
  <si>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</si>
  <si>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</si>
  <si>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</si>
  <si>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</si>
  <si>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</si>
  <si>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</si>
  <si>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</si>
  <si>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</si>
  <si>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</si>
  <si>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</si>
  <si>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</si>
  <si>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</si>
  <si>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</si>
  <si>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</si>
  <si>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</si>
  <si>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</si>
  <si>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</si>
  <si>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</si>
  <si>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</si>
  <si>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</si>
  <si>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</si>
  <si>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</si>
  <si>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</si>
  <si>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</si>
  <si>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</si>
  <si>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</si>
  <si>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</si>
  <si>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</si>
  <si>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</si>
  <si>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</si>
  <si>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</si>
  <si>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</si>
  <si>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</si>
  <si>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</si>
  <si>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</si>
  <si>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</si>
  <si>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</si>
  <si>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</si>
  <si>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</si>
  <si>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</si>
  <si>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</si>
  <si>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</si>
  <si>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</si>
  <si>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</si>
  <si>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</si>
  <si>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</si>
  <si>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</si>
  <si>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</si>
  <si>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</si>
  <si>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</si>
  <si>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</si>
  <si>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</si>
  <si>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</si>
  <si>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</si>
  <si>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</si>
  <si>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</si>
  <si>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</si>
  <si>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</si>
  <si>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</si>
  <si>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</si>
  <si>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</si>
  <si>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</si>
  <si>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</si>
  <si>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</si>
  <si>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</si>
  <si>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</si>
  <si>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</si>
  <si>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</si>
  <si>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</si>
  <si>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</si>
  <si>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</si>
  <si>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</si>
  <si>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</si>
  <si>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</si>
  <si>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</si>
  <si>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</si>
  <si>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</si>
  <si>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</si>
  <si>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</si>
  <si>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</si>
  <si>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</si>
  <si>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</si>
  <si>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</si>
  <si>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</si>
  <si>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</si>
  <si>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</si>
  <si>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</si>
  <si>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</si>
  <si>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</si>
  <si>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</si>
  <si>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</si>
  <si>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</si>
  <si>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</si>
  <si>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</si>
  <si>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</si>
  <si>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</si>
  <si>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</si>
  <si>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</si>
  <si>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</si>
  <si>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</si>
  <si>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</si>
  <si>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</si>
  <si>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</si>
  <si>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</si>
  <si>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</si>
  <si>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</si>
  <si>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</si>
  <si>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</si>
  <si>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</si>
  <si>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</si>
  <si>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</si>
  <si>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</si>
  <si>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</si>
  <si>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</si>
  <si>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</si>
  <si>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</si>
  <si>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</si>
  <si>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</si>
  <si>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</si>
  <si>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</si>
  <si>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</si>
  <si>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</si>
  <si>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</si>
  <si>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</si>
  <si>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</si>
  <si>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</si>
  <si>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</si>
  <si>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</si>
  <si>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</si>
  <si>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</si>
  <si>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</si>
  <si>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</si>
  <si>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</si>
  <si>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</si>
  <si>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</si>
  <si>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</si>
  <si>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</si>
  <si>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</si>
  <si>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</si>
  <si>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</si>
  <si>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</si>
  <si>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</si>
  <si>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</si>
  <si>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</si>
  <si>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</si>
  <si>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</si>
  <si>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</si>
  <si>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</si>
  <si>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</si>
  <si>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</si>
  <si>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</si>
  <si>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</si>
  <si>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</si>
  <si>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</si>
  <si>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</si>
  <si>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</si>
  <si>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</si>
  <si>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</si>
  <si>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</si>
  <si>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</si>
  <si>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</si>
  <si>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</si>
  <si>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</si>
  <si>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</si>
  <si>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</si>
  <si>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</si>
  <si>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</si>
  <si>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</si>
  <si>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</si>
  <si>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</si>
  <si>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</si>
  <si>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</si>
  <si>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</si>
  <si>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</si>
  <si>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</si>
  <si>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</si>
  <si>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</si>
  <si>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</si>
  <si>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</si>
  <si>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</si>
  <si>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</si>
  <si>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</si>
  <si>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</si>
  <si>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</si>
  <si>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</si>
  <si>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</si>
  <si>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</si>
  <si>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</si>
  <si>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</si>
  <si>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</si>
  <si>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</si>
  <si>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</si>
  <si>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</si>
  <si>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</si>
  <si>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</si>
  <si>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</si>
  <si>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</si>
  <si>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</si>
  <si>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</si>
  <si>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</si>
  <si>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</si>
  <si>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</si>
  <si>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</si>
  <si>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</si>
  <si>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</si>
  <si>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</si>
  <si>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</si>
  <si>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</si>
  <si>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</si>
  <si>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</si>
  <si>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</si>
  <si>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</si>
  <si>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</si>
  <si>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</si>
  <si>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</si>
  <si>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</si>
  <si>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</si>
  <si>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</si>
  <si>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</si>
  <si>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</si>
  <si>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</si>
  <si>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</si>
  <si>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</si>
  <si>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</si>
  <si>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</si>
  <si>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</si>
  <si>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</si>
  <si>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</si>
  <si>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</si>
  <si>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</si>
  <si>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</si>
  <si>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</si>
  <si>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</si>
  <si>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</si>
  <si>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</si>
  <si>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</si>
  <si>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</si>
  <si>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</si>
  <si>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</si>
  <si>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</si>
  <si>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</si>
  <si>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</si>
  <si>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</si>
  <si>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</si>
  <si>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</si>
  <si>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</si>
  <si>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</si>
  <si>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</si>
  <si>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</si>
  <si>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</si>
  <si>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</si>
  <si>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</si>
  <si>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</si>
  <si>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</si>
  <si>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</si>
  <si>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</si>
  <si>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</si>
  <si>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</si>
  <si>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</si>
  <si>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</si>
  <si>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</si>
  <si>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</si>
  <si>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</si>
  <si>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</si>
  <si>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</si>
  <si>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</si>
  <si>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</si>
  <si>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</si>
  <si>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</si>
  <si>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</si>
  <si>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</si>
  <si>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</si>
  <si>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</si>
  <si>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</si>
  <si>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</si>
  <si>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</si>
  <si>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</si>
  <si>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</si>
  <si>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</si>
  <si>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</si>
  <si>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</si>
  <si>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</si>
  <si>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</si>
  <si>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</si>
  <si>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</si>
  <si>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</si>
  <si>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</si>
  <si>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</si>
  <si>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</si>
  <si>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</si>
  <si>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</si>
  <si>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</si>
  <si>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</si>
  <si>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</si>
  <si>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</si>
  <si>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</si>
  <si>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</si>
  <si>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</si>
  <si>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</si>
  <si>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</si>
  <si>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</si>
  <si>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</si>
  <si>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</si>
  <si>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</si>
  <si>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</si>
  <si>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</si>
  <si>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</si>
  <si>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</si>
  <si>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</si>
  <si>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</si>
  <si>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</si>
  <si>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</si>
  <si>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</si>
  <si>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</si>
  <si>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</si>
  <si>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</si>
  <si>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</si>
  <si>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</si>
  <si>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</si>
  <si>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</si>
  <si>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</si>
  <si>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</si>
  <si>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</si>
  <si>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</si>
  <si>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</si>
  <si>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</si>
  <si>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</si>
  <si>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</si>
  <si>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</si>
  <si>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</si>
  <si>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</si>
  <si>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</si>
  <si>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</si>
  <si>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</si>
  <si>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</si>
  <si>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</si>
  <si>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</si>
  <si>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</si>
  <si>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</si>
  <si>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</si>
  <si>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</si>
  <si>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</si>
  <si>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</si>
  <si>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</si>
  <si>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</si>
  <si>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</si>
  <si>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</si>
  <si>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</si>
  <si>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</si>
  <si>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</si>
  <si>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</si>
  <si>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</si>
  <si>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</si>
  <si>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</si>
  <si>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</si>
  <si>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</si>
  <si>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</si>
  <si>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</si>
  <si>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</si>
  <si>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</si>
  <si>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</si>
  <si>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</si>
  <si>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</si>
  <si>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</si>
  <si>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</si>
  <si>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</si>
  <si>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</si>
  <si>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</si>
  <si>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</si>
  <si>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</si>
  <si>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</si>
  <si>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</si>
  <si>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</si>
  <si>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</si>
  <si>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Tabla a la</t>
  </si>
  <si>
    <t>derecha</t>
  </si>
  <si>
    <t>porc rem cod 17</t>
  </si>
  <si>
    <t>porc rem y bon cod 17</t>
  </si>
  <si>
    <t>el comentario aparece al posicionar el cursor sobre la celda.</t>
  </si>
  <si>
    <t xml:space="preserve">Leer los comentarios en las celdas que tengan una puntita roja en el ángulo superior derecho, 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</si>
  <si>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</si>
  <si>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</si>
  <si>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</si>
  <si>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</si>
  <si>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</si>
  <si>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</si>
  <si>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</si>
  <si>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</si>
  <si>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</si>
  <si>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</si>
  <si>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</si>
  <si>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</si>
  <si>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</si>
  <si>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sobre los haberes de los jubilados docentes</t>
  </si>
  <si>
    <t>www.celestecompromiso.com.ar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</si>
  <si>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</si>
  <si>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</si>
  <si>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</si>
  <si>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Recibo final</t>
  </si>
  <si>
    <t>Control 120 meses:</t>
  </si>
  <si>
    <t>Deben sumar 120 meses</t>
  </si>
  <si>
    <t>indiceago07</t>
  </si>
  <si>
    <t>proljorago07</t>
  </si>
  <si>
    <t>cod06medago07</t>
  </si>
  <si>
    <t>cod06supago07</t>
  </si>
  <si>
    <t>cod06ago07</t>
  </si>
  <si>
    <t>Aumento</t>
  </si>
  <si>
    <t>Porcentual</t>
  </si>
  <si>
    <t>proljorsep07</t>
  </si>
  <si>
    <t>cod06sep07</t>
  </si>
  <si>
    <t>indicesept07</t>
  </si>
  <si>
    <t>cod06medsep07</t>
  </si>
  <si>
    <t>cod06supsep07</t>
  </si>
  <si>
    <t>A cobrar 30 o 60 días después que los activos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</si>
  <si>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</si>
  <si>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</si>
  <si>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</si>
  <si>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</si>
  <si>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</si>
  <si>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</si>
  <si>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</si>
  <si>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</si>
  <si>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</si>
  <si>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cod06sep07varios1</t>
  </si>
  <si>
    <t>Aumento Septiembre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</si>
  <si>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</si>
  <si>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</si>
  <si>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</si>
  <si>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</si>
  <si>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</si>
  <si>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</si>
  <si>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</si>
  <si>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</si>
  <si>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</si>
  <si>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</si>
  <si>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indicemar08</t>
  </si>
  <si>
    <t>proljormar08</t>
  </si>
  <si>
    <t>indicejul08</t>
  </si>
  <si>
    <t>proljorjul08</t>
  </si>
  <si>
    <t>Comp Básico</t>
  </si>
  <si>
    <t>otro Código</t>
  </si>
  <si>
    <t>Complemento de básico</t>
  </si>
  <si>
    <t>Salario septiembre 2007</t>
  </si>
  <si>
    <t>Salario Marzo 2008</t>
  </si>
  <si>
    <t>Aumento Acumulado</t>
  </si>
  <si>
    <t>Porc Acumulado</t>
  </si>
  <si>
    <t>Diferencia</t>
  </si>
  <si>
    <t>Diferencia Acumulada</t>
  </si>
  <si>
    <t>Salario Marzo 2.008</t>
  </si>
  <si>
    <t>Salario septiembre 2007 a feb 2.008</t>
  </si>
  <si>
    <t>Nuevo Código</t>
  </si>
  <si>
    <t>cod06sep07varios2</t>
  </si>
  <si>
    <t>cod06sep07varios3</t>
  </si>
  <si>
    <t>cod06sep07varios4</t>
  </si>
  <si>
    <t>Aumento Feb a Jul</t>
  </si>
  <si>
    <t>Porcentaje Feb a Jul</t>
  </si>
  <si>
    <t>Aumento Julio</t>
  </si>
  <si>
    <t>Porcentaje Julio</t>
  </si>
  <si>
    <t>Aumento Marzo</t>
  </si>
  <si>
    <t>Porcentaje Marzo</t>
  </si>
  <si>
    <t>Salario Julio 2.008</t>
  </si>
  <si>
    <t>Puntos  prol jornada</t>
  </si>
  <si>
    <t>AGOSTO</t>
  </si>
  <si>
    <t>OCTUBRE</t>
  </si>
  <si>
    <t>Diciembre</t>
  </si>
  <si>
    <t>Salario Mayo 2008</t>
  </si>
  <si>
    <t>Salario Agosto 2008</t>
  </si>
  <si>
    <t>Salario Diciembre 2008</t>
  </si>
  <si>
    <t>indiceoct08</t>
  </si>
  <si>
    <t>indiceago08</t>
  </si>
  <si>
    <t>indicedic08</t>
  </si>
  <si>
    <t>proljorago08</t>
  </si>
  <si>
    <t>proljoroct08</t>
  </si>
  <si>
    <t>proljordic08</t>
  </si>
  <si>
    <t>cod06ago08</t>
  </si>
  <si>
    <t>cod06oct08</t>
  </si>
  <si>
    <t>cod06dic08</t>
  </si>
  <si>
    <t>Salario Mayo 2.008</t>
  </si>
  <si>
    <t>Salario Diciembre 2.008</t>
  </si>
  <si>
    <t>Salario Agosto 2.008</t>
  </si>
  <si>
    <t>Incremento Anual</t>
  </si>
  <si>
    <t>Hoja de cálculo  para evaluar la incidencia de propuesta</t>
  </si>
  <si>
    <t>Secretario General</t>
  </si>
  <si>
    <t>www.porunagmerdetodos.com.ar</t>
  </si>
  <si>
    <t>de aumento de Agosto, Septiembre y Diciembre de 2.008</t>
  </si>
  <si>
    <t>Está hecho en base a los valores propuestos de aumentos de Agosto, Septiembre y Diciembre de 2.008</t>
  </si>
  <si>
    <t>Salario Septiembre 2008</t>
  </si>
  <si>
    <t>Salario Septiembre 2.008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</si>
</sst>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</numFmts>
  <fonts count="76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58"/>
      <name val="Arial"/>
      <family val="2"/>
    </font>
    <font>
      <b/>
      <sz val="14"/>
      <color indexed="12"/>
      <name val="Arial"/>
      <family val="2"/>
    </font>
    <font>
      <b/>
      <u val="single"/>
      <sz val="20"/>
      <color indexed="12"/>
      <name val="Arial"/>
      <family val="2"/>
    </font>
    <font>
      <sz val="1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indexed="52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35" fillId="3" borderId="11" xfId="0" applyFont="1" applyFill="1" applyBorder="1" applyAlignment="1" applyProtection="1">
      <alignment/>
      <protection/>
    </xf>
    <xf numFmtId="0" fontId="28" fillId="4" borderId="12" xfId="15" applyFont="1" applyFill="1" applyBorder="1" applyAlignment="1" applyProtection="1">
      <alignment/>
      <protection/>
    </xf>
    <xf numFmtId="0" fontId="37" fillId="2" borderId="3" xfId="0" applyFon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28" fillId="4" borderId="14" xfId="15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38" fillId="4" borderId="16" xfId="15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5" fillId="3" borderId="2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1" fontId="21" fillId="0" borderId="24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right"/>
      <protection/>
    </xf>
    <xf numFmtId="172" fontId="2" fillId="0" borderId="18" xfId="0" applyNumberFormat="1" applyFont="1" applyBorder="1" applyAlignment="1" applyProtection="1">
      <alignment/>
      <protection/>
    </xf>
    <xf numFmtId="2" fontId="34" fillId="0" borderId="19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19" xfId="0" applyNumberFormat="1" applyFont="1" applyBorder="1" applyAlignment="1" applyProtection="1">
      <alignment horizontal="right"/>
      <protection/>
    </xf>
    <xf numFmtId="2" fontId="24" fillId="0" borderId="19" xfId="0" applyNumberFormat="1" applyFont="1" applyBorder="1" applyAlignment="1" applyProtection="1">
      <alignment horizontal="right"/>
      <protection/>
    </xf>
    <xf numFmtId="2" fontId="21" fillId="0" borderId="24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/>
      <protection locked="0"/>
    </xf>
    <xf numFmtId="9" fontId="20" fillId="0" borderId="26" xfId="0" applyNumberFormat="1" applyFont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/>
      <protection/>
    </xf>
    <xf numFmtId="0" fontId="2" fillId="8" borderId="28" xfId="0" applyFont="1" applyFill="1" applyBorder="1" applyAlignment="1" applyProtection="1">
      <alignment/>
      <protection/>
    </xf>
    <xf numFmtId="0" fontId="0" fillId="8" borderId="29" xfId="0" applyFill="1" applyBorder="1" applyAlignment="1" applyProtection="1">
      <alignment/>
      <protection/>
    </xf>
    <xf numFmtId="9" fontId="24" fillId="9" borderId="30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/>
      <protection locked="0"/>
    </xf>
    <xf numFmtId="9" fontId="20" fillId="3" borderId="0" xfId="0" applyNumberFormat="1" applyFont="1" applyFill="1" applyBorder="1" applyAlignment="1" applyProtection="1">
      <alignment/>
      <protection locked="0"/>
    </xf>
    <xf numFmtId="0" fontId="20" fillId="8" borderId="31" xfId="0" applyFont="1" applyFill="1" applyBorder="1" applyAlignment="1" applyProtection="1">
      <alignment/>
      <protection locked="0"/>
    </xf>
    <xf numFmtId="0" fontId="2" fillId="10" borderId="32" xfId="0" applyFont="1" applyFill="1" applyBorder="1" applyAlignment="1" applyProtection="1">
      <alignment horizontal="right"/>
      <protection/>
    </xf>
    <xf numFmtId="0" fontId="2" fillId="10" borderId="3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20" fillId="0" borderId="26" xfId="21" applyFont="1" applyBorder="1" applyAlignment="1" applyProtection="1">
      <alignment horizontal="center"/>
      <protection locked="0"/>
    </xf>
    <xf numFmtId="9" fontId="22" fillId="5" borderId="34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2" fontId="0" fillId="0" borderId="18" xfId="0" applyNumberFormat="1" applyBorder="1" applyAlignment="1" applyProtection="1">
      <alignment/>
      <protection/>
    </xf>
    <xf numFmtId="0" fontId="34" fillId="3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34" fillId="3" borderId="15" xfId="0" applyFon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5" xfId="0" applyFont="1" applyFill="1" applyBorder="1" applyAlignment="1" applyProtection="1">
      <alignment/>
      <protection/>
    </xf>
    <xf numFmtId="0" fontId="24" fillId="3" borderId="35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52" fillId="8" borderId="28" xfId="0" applyFont="1" applyFill="1" applyBorder="1" applyAlignment="1" applyProtection="1">
      <alignment/>
      <protection/>
    </xf>
    <xf numFmtId="0" fontId="53" fillId="8" borderId="31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6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56" fillId="3" borderId="36" xfId="0" applyFont="1" applyFill="1" applyBorder="1" applyAlignment="1" applyProtection="1">
      <alignment/>
      <protection/>
    </xf>
    <xf numFmtId="0" fontId="56" fillId="3" borderId="37" xfId="0" applyFont="1" applyFill="1" applyBorder="1" applyAlignment="1" applyProtection="1">
      <alignment/>
      <protection/>
    </xf>
    <xf numFmtId="0" fontId="56" fillId="3" borderId="38" xfId="0" applyFont="1" applyFill="1" applyBorder="1" applyAlignment="1" applyProtection="1">
      <alignment/>
      <protection/>
    </xf>
    <xf numFmtId="0" fontId="56" fillId="3" borderId="0" xfId="0" applyFont="1" applyFill="1" applyBorder="1" applyAlignment="1" applyProtection="1">
      <alignment/>
      <protection/>
    </xf>
    <xf numFmtId="0" fontId="4" fillId="3" borderId="38" xfId="15" applyFont="1" applyFill="1" applyBorder="1" applyAlignment="1" applyProtection="1">
      <alignment/>
      <protection/>
    </xf>
    <xf numFmtId="0" fontId="57" fillId="3" borderId="38" xfId="15" applyFont="1" applyFill="1" applyBorder="1" applyAlignment="1" applyProtection="1">
      <alignment/>
      <protection/>
    </xf>
    <xf numFmtId="0" fontId="57" fillId="3" borderId="39" xfId="15" applyFont="1" applyFill="1" applyBorder="1" applyAlignment="1" applyProtection="1">
      <alignment/>
      <protection/>
    </xf>
    <xf numFmtId="0" fontId="56" fillId="3" borderId="40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10" fontId="58" fillId="17" borderId="0" xfId="21" applyNumberFormat="1" applyFont="1" applyFill="1" applyBorder="1" applyAlignment="1" applyProtection="1">
      <alignment horizontal="right"/>
      <protection/>
    </xf>
    <xf numFmtId="2" fontId="58" fillId="17" borderId="0" xfId="0" applyNumberFormat="1" applyFont="1" applyFill="1" applyAlignment="1" applyProtection="1">
      <alignment/>
      <protection/>
    </xf>
    <xf numFmtId="10" fontId="58" fillId="17" borderId="0" xfId="21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 horizontal="right"/>
      <protection/>
    </xf>
    <xf numFmtId="0" fontId="2" fillId="10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6" fillId="0" borderId="0" xfId="0" applyNumberFormat="1" applyFont="1" applyBorder="1" applyAlignment="1" applyProtection="1">
      <alignment horizontal="left"/>
      <protection/>
    </xf>
    <xf numFmtId="0" fontId="26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63" fillId="3" borderId="42" xfId="15" applyFont="1" applyFill="1" applyBorder="1" applyAlignment="1">
      <alignment/>
    </xf>
    <xf numFmtId="0" fontId="63" fillId="4" borderId="42" xfId="15" applyFont="1" applyFill="1" applyBorder="1" applyAlignment="1">
      <alignment/>
    </xf>
    <xf numFmtId="0" fontId="64" fillId="6" borderId="42" xfId="15" applyFont="1" applyFill="1" applyBorder="1" applyAlignment="1">
      <alignment/>
    </xf>
    <xf numFmtId="0" fontId="63" fillId="16" borderId="42" xfId="15" applyFont="1" applyFill="1" applyBorder="1" applyAlignment="1">
      <alignment/>
    </xf>
    <xf numFmtId="0" fontId="38" fillId="0" borderId="42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172" fontId="65" fillId="17" borderId="0" xfId="0" applyNumberFormat="1" applyFont="1" applyFill="1" applyBorder="1" applyAlignment="1" applyProtection="1">
      <alignment/>
      <protection/>
    </xf>
    <xf numFmtId="2" fontId="51" fillId="17" borderId="0" xfId="0" applyNumberFormat="1" applyFont="1" applyFill="1" applyBorder="1" applyAlignment="1" applyProtection="1">
      <alignment horizontal="center"/>
      <protection/>
    </xf>
    <xf numFmtId="10" fontId="51" fillId="17" borderId="0" xfId="21" applyNumberFormat="1" applyFont="1" applyFill="1" applyBorder="1" applyAlignment="1" applyProtection="1">
      <alignment horizontal="center"/>
      <protection/>
    </xf>
    <xf numFmtId="172" fontId="66" fillId="17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5" xfId="0" applyNumberForma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/>
    </xf>
    <xf numFmtId="9" fontId="24" fillId="9" borderId="44" xfId="21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3" fillId="18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46" xfId="21" applyFont="1" applyFill="1" applyBorder="1" applyAlignment="1" applyProtection="1">
      <alignment/>
      <protection/>
    </xf>
    <xf numFmtId="0" fontId="14" fillId="0" borderId="47" xfId="0" applyFont="1" applyBorder="1" applyAlignment="1">
      <alignment horizontal="center"/>
    </xf>
    <xf numFmtId="9" fontId="24" fillId="4" borderId="46" xfId="21" applyFont="1" applyFill="1" applyBorder="1" applyAlignment="1" applyProtection="1">
      <alignment/>
      <protection/>
    </xf>
    <xf numFmtId="0" fontId="0" fillId="18" borderId="2" xfId="0" applyFill="1" applyBorder="1" applyAlignment="1" applyProtection="1">
      <alignment/>
      <protection/>
    </xf>
    <xf numFmtId="9" fontId="24" fillId="4" borderId="48" xfId="21" applyFont="1" applyFill="1" applyBorder="1" applyAlignment="1" applyProtection="1">
      <alignment/>
      <protection/>
    </xf>
    <xf numFmtId="0" fontId="20" fillId="0" borderId="49" xfId="0" applyFont="1" applyFill="1" applyBorder="1" applyAlignment="1" applyProtection="1">
      <alignment horizontal="center"/>
      <protection/>
    </xf>
    <xf numFmtId="10" fontId="58" fillId="0" borderId="0" xfId="21" applyNumberFormat="1" applyFont="1" applyFill="1" applyBorder="1" applyAlignment="1" applyProtection="1">
      <alignment horizontal="right"/>
      <protection/>
    </xf>
    <xf numFmtId="2" fontId="58" fillId="0" borderId="0" xfId="0" applyNumberFormat="1" applyFont="1" applyFill="1" applyAlignment="1" applyProtection="1">
      <alignment/>
      <protection/>
    </xf>
    <xf numFmtId="10" fontId="59" fillId="0" borderId="0" xfId="21" applyNumberFormat="1" applyFont="1" applyFill="1" applyBorder="1" applyAlignment="1" applyProtection="1">
      <alignment horizontal="left"/>
      <protection/>
    </xf>
    <xf numFmtId="10" fontId="58" fillId="0" borderId="0" xfId="21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10" fontId="35" fillId="4" borderId="0" xfId="21" applyNumberFormat="1" applyFont="1" applyFill="1" applyBorder="1" applyAlignment="1" applyProtection="1">
      <alignment horizontal="right"/>
      <protection/>
    </xf>
    <xf numFmtId="2" fontId="67" fillId="4" borderId="0" xfId="0" applyNumberFormat="1" applyFont="1" applyFill="1" applyAlignment="1" applyProtection="1">
      <alignment/>
      <protection/>
    </xf>
    <xf numFmtId="10" fontId="45" fillId="4" borderId="0" xfId="21" applyNumberFormat="1" applyFont="1" applyFill="1" applyBorder="1" applyAlignment="1" applyProtection="1">
      <alignment horizontal="right"/>
      <protection/>
    </xf>
    <xf numFmtId="10" fontId="67" fillId="4" borderId="0" xfId="21" applyNumberFormat="1" applyFont="1" applyFill="1" applyAlignment="1" applyProtection="1">
      <alignment/>
      <protection/>
    </xf>
    <xf numFmtId="2" fontId="0" fillId="0" borderId="5" xfId="0" applyNumberFormat="1" applyBorder="1" applyAlignment="1" applyProtection="1">
      <alignment horizontal="left"/>
      <protection/>
    </xf>
    <xf numFmtId="2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/>
      <protection/>
    </xf>
    <xf numFmtId="2" fontId="2" fillId="0" borderId="6" xfId="0" applyNumberFormat="1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left"/>
      <protection/>
    </xf>
    <xf numFmtId="2" fontId="0" fillId="0" borderId="53" xfId="0" applyNumberFormat="1" applyBorder="1" applyAlignment="1" applyProtection="1">
      <alignment horizontal="left"/>
      <protection/>
    </xf>
    <xf numFmtId="2" fontId="22" fillId="0" borderId="54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/>
    </xf>
    <xf numFmtId="2" fontId="0" fillId="0" borderId="55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54" xfId="19" applyNumberFormat="1" applyFont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56" xfId="0" applyNumberFormat="1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left"/>
      <protection/>
    </xf>
    <xf numFmtId="2" fontId="0" fillId="0" borderId="15" xfId="0" applyNumberFormat="1" applyBorder="1" applyAlignment="1" applyProtection="1">
      <alignment horizontal="right"/>
      <protection/>
    </xf>
    <xf numFmtId="175" fontId="2" fillId="0" borderId="54" xfId="19" applyNumberFormat="1" applyFont="1" applyBorder="1" applyAlignment="1" applyProtection="1">
      <alignment horizontal="right"/>
      <protection/>
    </xf>
    <xf numFmtId="2" fontId="2" fillId="0" borderId="54" xfId="0" applyNumberFormat="1" applyFont="1" applyBorder="1" applyAlignment="1" applyProtection="1">
      <alignment horizontal="right"/>
      <protection/>
    </xf>
    <xf numFmtId="0" fontId="38" fillId="8" borderId="12" xfId="0" applyFont="1" applyFill="1" applyBorder="1" applyAlignment="1" applyProtection="1">
      <alignment horizontal="left"/>
      <protection/>
    </xf>
    <xf numFmtId="0" fontId="38" fillId="8" borderId="16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lef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5" fillId="19" borderId="0" xfId="0" applyNumberFormat="1" applyFont="1" applyFill="1" applyBorder="1" applyAlignment="1" applyProtection="1">
      <alignment/>
      <protection/>
    </xf>
    <xf numFmtId="2" fontId="51" fillId="19" borderId="0" xfId="0" applyNumberFormat="1" applyFont="1" applyFill="1" applyBorder="1" applyAlignment="1" applyProtection="1">
      <alignment horizontal="center"/>
      <protection/>
    </xf>
    <xf numFmtId="10" fontId="51" fillId="19" borderId="0" xfId="21" applyNumberFormat="1" applyFont="1" applyFill="1" applyBorder="1" applyAlignment="1" applyProtection="1">
      <alignment horizontal="center"/>
      <protection/>
    </xf>
    <xf numFmtId="2" fontId="51" fillId="0" borderId="0" xfId="0" applyNumberFormat="1" applyFont="1" applyFill="1" applyBorder="1" applyAlignment="1" applyProtection="1">
      <alignment horizontal="center"/>
      <protection/>
    </xf>
    <xf numFmtId="0" fontId="66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172" fontId="51" fillId="0" borderId="0" xfId="0" applyNumberFormat="1" applyFont="1" applyFill="1" applyBorder="1" applyAlignment="1" applyProtection="1">
      <alignment/>
      <protection/>
    </xf>
    <xf numFmtId="172" fontId="65" fillId="0" borderId="0" xfId="0" applyNumberFormat="1" applyFont="1" applyFill="1" applyBorder="1" applyAlignment="1" applyProtection="1">
      <alignment/>
      <protection/>
    </xf>
    <xf numFmtId="10" fontId="51" fillId="0" borderId="0" xfId="21" applyNumberFormat="1" applyFont="1" applyFill="1" applyBorder="1" applyAlignment="1" applyProtection="1">
      <alignment horizontal="center"/>
      <protection/>
    </xf>
    <xf numFmtId="172" fontId="66" fillId="0" borderId="0" xfId="0" applyNumberFormat="1" applyFont="1" applyFill="1" applyBorder="1" applyAlignment="1" applyProtection="1">
      <alignment/>
      <protection/>
    </xf>
    <xf numFmtId="10" fontId="66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1" fillId="3" borderId="0" xfId="0" applyFont="1" applyFill="1" applyBorder="1" applyAlignment="1" applyProtection="1">
      <alignment/>
      <protection/>
    </xf>
    <xf numFmtId="172" fontId="65" fillId="3" borderId="0" xfId="0" applyNumberFormat="1" applyFont="1" applyFill="1" applyBorder="1" applyAlignment="1" applyProtection="1">
      <alignment/>
      <protection/>
    </xf>
    <xf numFmtId="0" fontId="41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1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172" fontId="0" fillId="6" borderId="0" xfId="0" applyNumberFormat="1" applyFill="1" applyBorder="1" applyAlignment="1" applyProtection="1">
      <alignment/>
      <protection/>
    </xf>
    <xf numFmtId="2" fontId="18" fillId="6" borderId="0" xfId="0" applyNumberFormat="1" applyFont="1" applyFill="1" applyBorder="1" applyAlignment="1" applyProtection="1">
      <alignment horizontal="right"/>
      <protection/>
    </xf>
    <xf numFmtId="172" fontId="25" fillId="6" borderId="0" xfId="0" applyNumberFormat="1" applyFont="1" applyFill="1" applyBorder="1" applyAlignment="1" applyProtection="1">
      <alignment/>
      <protection/>
    </xf>
    <xf numFmtId="10" fontId="25" fillId="6" borderId="0" xfId="21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1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8" fillId="15" borderId="0" xfId="0" applyFont="1" applyFill="1" applyAlignment="1">
      <alignment/>
    </xf>
    <xf numFmtId="0" fontId="68" fillId="0" borderId="0" xfId="0" applyFont="1" applyAlignment="1" applyProtection="1">
      <alignment/>
      <protection/>
    </xf>
    <xf numFmtId="43" fontId="0" fillId="0" borderId="0" xfId="17" applyFont="1" applyFill="1" applyAlignment="1" applyProtection="1">
      <alignment/>
      <protection/>
    </xf>
    <xf numFmtId="0" fontId="23" fillId="8" borderId="57" xfId="0" applyFont="1" applyFill="1" applyBorder="1" applyAlignment="1" applyProtection="1">
      <alignment horizontal="left"/>
      <protection/>
    </xf>
    <xf numFmtId="0" fontId="23" fillId="8" borderId="13" xfId="0" applyFont="1" applyFill="1" applyBorder="1" applyAlignment="1" applyProtection="1">
      <alignment horizontal="left"/>
      <protection/>
    </xf>
    <xf numFmtId="0" fontId="69" fillId="8" borderId="14" xfId="0" applyFont="1" applyFill="1" applyBorder="1" applyAlignment="1" applyProtection="1">
      <alignment horizontal="left"/>
      <protection/>
    </xf>
    <xf numFmtId="0" fontId="23" fillId="8" borderId="0" xfId="0" applyFont="1" applyFill="1" applyBorder="1" applyAlignment="1" applyProtection="1">
      <alignment horizontal="left"/>
      <protection/>
    </xf>
    <xf numFmtId="0" fontId="23" fillId="8" borderId="15" xfId="0" applyFont="1" applyFill="1" applyBorder="1" applyAlignment="1" applyProtection="1">
      <alignment horizontal="left"/>
      <protection/>
    </xf>
    <xf numFmtId="0" fontId="23" fillId="8" borderId="24" xfId="0" applyFont="1" applyFill="1" applyBorder="1" applyAlignment="1" applyProtection="1">
      <alignment horizontal="left"/>
      <protection/>
    </xf>
    <xf numFmtId="0" fontId="23" fillId="8" borderId="17" xfId="0" applyFont="1" applyFill="1" applyBorder="1" applyAlignment="1" applyProtection="1">
      <alignment horizontal="left"/>
      <protection/>
    </xf>
    <xf numFmtId="2" fontId="22" fillId="0" borderId="2" xfId="0" applyNumberFormat="1" applyFont="1" applyBorder="1" applyAlignment="1" applyProtection="1">
      <alignment horizontal="left"/>
      <protection locked="0"/>
    </xf>
    <xf numFmtId="0" fontId="70" fillId="0" borderId="0" xfId="0" applyFont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71" fillId="0" borderId="0" xfId="0" applyFont="1" applyAlignment="1" applyProtection="1">
      <alignment/>
      <protection/>
    </xf>
    <xf numFmtId="2" fontId="72" fillId="0" borderId="0" xfId="0" applyNumberFormat="1" applyFont="1" applyAlignment="1" applyProtection="1">
      <alignment horizontal="left"/>
      <protection/>
    </xf>
    <xf numFmtId="2" fontId="72" fillId="0" borderId="4" xfId="0" applyNumberFormat="1" applyFont="1" applyBorder="1" applyAlignment="1" applyProtection="1">
      <alignment horizontal="left"/>
      <protection/>
    </xf>
    <xf numFmtId="2" fontId="72" fillId="0" borderId="0" xfId="0" applyNumberFormat="1" applyFont="1" applyAlignment="1" applyProtection="1">
      <alignment horizontal="center"/>
      <protection/>
    </xf>
    <xf numFmtId="2" fontId="72" fillId="0" borderId="4" xfId="0" applyNumberFormat="1" applyFont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2" fontId="72" fillId="0" borderId="4" xfId="0" applyNumberFormat="1" applyFont="1" applyBorder="1" applyAlignment="1" applyProtection="1">
      <alignment horizontal="right"/>
      <protection/>
    </xf>
    <xf numFmtId="2" fontId="73" fillId="0" borderId="0" xfId="0" applyNumberFormat="1" applyFont="1" applyAlignment="1" applyProtection="1">
      <alignment horizontal="center"/>
      <protection/>
    </xf>
    <xf numFmtId="2" fontId="73" fillId="0" borderId="4" xfId="0" applyNumberFormat="1" applyFont="1" applyBorder="1" applyAlignment="1" applyProtection="1">
      <alignment horizontal="center"/>
      <protection/>
    </xf>
    <xf numFmtId="10" fontId="58" fillId="20" borderId="0" xfId="21" applyNumberFormat="1" applyFont="1" applyFill="1" applyBorder="1" applyAlignment="1" applyProtection="1">
      <alignment horizontal="right"/>
      <protection/>
    </xf>
    <xf numFmtId="0" fontId="49" fillId="4" borderId="36" xfId="0" applyFont="1" applyFill="1" applyBorder="1" applyAlignment="1" applyProtection="1">
      <alignment/>
      <protection/>
    </xf>
    <xf numFmtId="0" fontId="49" fillId="4" borderId="37" xfId="0" applyFont="1" applyFill="1" applyBorder="1" applyAlignment="1" applyProtection="1">
      <alignment/>
      <protection/>
    </xf>
    <xf numFmtId="0" fontId="49" fillId="4" borderId="38" xfId="0" applyFont="1" applyFill="1" applyBorder="1" applyAlignment="1" applyProtection="1">
      <alignment/>
      <protection/>
    </xf>
    <xf numFmtId="0" fontId="49" fillId="4" borderId="0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48" fillId="4" borderId="38" xfId="15" applyFont="1" applyFill="1" applyBorder="1" applyAlignment="1" applyProtection="1">
      <alignment/>
      <protection/>
    </xf>
    <xf numFmtId="0" fontId="48" fillId="4" borderId="39" xfId="15" applyFont="1" applyFill="1" applyBorder="1" applyAlignment="1" applyProtection="1">
      <alignment/>
      <protection/>
    </xf>
    <xf numFmtId="0" fontId="49" fillId="4" borderId="40" xfId="0" applyFont="1" applyFill="1" applyBorder="1" applyAlignment="1" applyProtection="1">
      <alignment/>
      <protection/>
    </xf>
    <xf numFmtId="0" fontId="45" fillId="21" borderId="21" xfId="0" applyFont="1" applyFill="1" applyBorder="1" applyAlignment="1" applyProtection="1">
      <alignment/>
      <protection/>
    </xf>
    <xf numFmtId="0" fontId="45" fillId="21" borderId="11" xfId="0" applyFont="1" applyFill="1" applyBorder="1" applyAlignment="1" applyProtection="1">
      <alignment/>
      <protection/>
    </xf>
    <xf numFmtId="0" fontId="26" fillId="21" borderId="41" xfId="0" applyFont="1" applyFill="1" applyBorder="1" applyAlignment="1" applyProtection="1">
      <alignment/>
      <protection/>
    </xf>
    <xf numFmtId="0" fontId="35" fillId="21" borderId="36" xfId="0" applyFont="1" applyFill="1" applyBorder="1" applyAlignment="1" applyProtection="1">
      <alignment/>
      <protection/>
    </xf>
    <xf numFmtId="0" fontId="35" fillId="21" borderId="37" xfId="0" applyFont="1" applyFill="1" applyBorder="1" applyAlignment="1" applyProtection="1">
      <alignment/>
      <protection/>
    </xf>
    <xf numFmtId="0" fontId="35" fillId="21" borderId="38" xfId="0" applyFont="1" applyFill="1" applyBorder="1" applyAlignment="1" applyProtection="1">
      <alignment/>
      <protection/>
    </xf>
    <xf numFmtId="0" fontId="35" fillId="21" borderId="0" xfId="0" applyFont="1" applyFill="1" applyBorder="1" applyAlignment="1" applyProtection="1">
      <alignment/>
      <protection/>
    </xf>
    <xf numFmtId="0" fontId="44" fillId="21" borderId="38" xfId="15" applyFont="1" applyFill="1" applyBorder="1" applyAlignment="1" applyProtection="1">
      <alignment/>
      <protection/>
    </xf>
    <xf numFmtId="0" fontId="36" fillId="21" borderId="38" xfId="15" applyFont="1" applyFill="1" applyBorder="1" applyAlignment="1" applyProtection="1">
      <alignment/>
      <protection/>
    </xf>
    <xf numFmtId="0" fontId="50" fillId="21" borderId="38" xfId="15" applyFont="1" applyFill="1" applyBorder="1" applyAlignment="1" applyProtection="1">
      <alignment/>
      <protection/>
    </xf>
    <xf numFmtId="0" fontId="45" fillId="21" borderId="0" xfId="0" applyFont="1" applyFill="1" applyBorder="1" applyAlignment="1" applyProtection="1">
      <alignment/>
      <protection/>
    </xf>
    <xf numFmtId="0" fontId="7" fillId="21" borderId="39" xfId="15" applyFont="1" applyFill="1" applyBorder="1" applyAlignment="1" applyProtection="1">
      <alignment/>
      <protection/>
    </xf>
    <xf numFmtId="0" fontId="3" fillId="21" borderId="40" xfId="0" applyFont="1" applyFill="1" applyBorder="1" applyAlignment="1" applyProtection="1">
      <alignment/>
      <protection/>
    </xf>
    <xf numFmtId="0" fontId="35" fillId="4" borderId="21" xfId="0" applyFont="1" applyFill="1" applyBorder="1" applyAlignment="1" applyProtection="1">
      <alignment/>
      <protection/>
    </xf>
    <xf numFmtId="0" fontId="35" fillId="4" borderId="11" xfId="0" applyFont="1" applyFill="1" applyBorder="1" applyAlignment="1" applyProtection="1">
      <alignment/>
      <protection/>
    </xf>
    <xf numFmtId="0" fontId="45" fillId="4" borderId="11" xfId="0" applyFont="1" applyFill="1" applyBorder="1" applyAlignment="1" applyProtection="1">
      <alignment/>
      <protection/>
    </xf>
    <xf numFmtId="0" fontId="3" fillId="4" borderId="41" xfId="0" applyFont="1" applyFill="1" applyBorder="1" applyAlignment="1" applyProtection="1">
      <alignment/>
      <protection/>
    </xf>
    <xf numFmtId="0" fontId="50" fillId="4" borderId="38" xfId="15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6" fillId="0" borderId="0" xfId="0" applyNumberFormat="1" applyFont="1" applyFill="1" applyBorder="1" applyAlignment="1" applyProtection="1">
      <alignment horizontal="left"/>
      <protection/>
    </xf>
    <xf numFmtId="0" fontId="74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0" fontId="25" fillId="0" borderId="0" xfId="21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4" xfId="0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21" borderId="0" xfId="0" applyFont="1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2" borderId="0" xfId="0" applyFont="1" applyFill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hyperlink" Target="http://www.porunagmerdetodos.com.ar/" TargetMode="External" /><Relationship Id="rId8" Type="http://schemas.openxmlformats.org/officeDocument/2006/relationships/hyperlink" Target="http://www.porunagmerdetodos.com.ar/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celestecompromiso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U264"/>
  <sheetViews>
    <sheetView showGridLines="0" tabSelected="1" zoomScale="85" zoomScaleNormal="85" workbookViewId="0" topLeftCell="A158">
      <selection activeCell="D176" sqref="D176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17.8515625" style="11" customWidth="1"/>
    <col min="8" max="8" width="23.57421875" style="11" customWidth="1"/>
    <col min="9" max="9" width="12.7109375" style="11" customWidth="1"/>
    <col min="10" max="10" width="22.8515625" style="11" customWidth="1"/>
    <col min="11" max="11" width="14.7109375" style="11" customWidth="1"/>
    <col min="12" max="12" width="21.00390625" style="11" customWidth="1"/>
    <col min="13" max="13" width="20.140625" style="11" customWidth="1"/>
    <col min="14" max="14" width="20.00390625" style="11" customWidth="1"/>
    <col min="15" max="15" width="21.57421875" style="11" customWidth="1"/>
    <col min="16" max="16" width="16.7109375" style="11" customWidth="1"/>
    <col min="17" max="17" width="15.8515625" style="11" customWidth="1"/>
    <col min="18" max="18" width="11.421875" style="11" customWidth="1"/>
    <col min="19" max="19" width="13.57421875" style="11" customWidth="1"/>
    <col min="20" max="20" width="11.421875" style="11" customWidth="1"/>
    <col min="21" max="21" width="16.00390625" style="11" bestFit="1" customWidth="1"/>
    <col min="22" max="24" width="11.421875" style="11" customWidth="1"/>
    <col min="25" max="25" width="13.28125" style="11" customWidth="1"/>
    <col min="26" max="16384" width="11.421875" style="11" customWidth="1"/>
  </cols>
  <sheetData>
    <row r="1" ht="13.5" thickBot="1"/>
    <row r="2" spans="1:11" ht="18">
      <c r="A2" s="2"/>
      <c r="B2" s="478"/>
      <c r="C2" s="313" t="s">
        <v>494</v>
      </c>
      <c r="D2" s="392"/>
      <c r="E2" s="392"/>
      <c r="F2" s="393"/>
      <c r="G2" s="479"/>
      <c r="H2" s="3"/>
      <c r="I2" s="4"/>
      <c r="J2" s="1"/>
      <c r="K2" s="2"/>
    </row>
    <row r="3" spans="1:11" ht="18">
      <c r="A3" s="2"/>
      <c r="B3" s="478"/>
      <c r="C3" s="394" t="s">
        <v>497</v>
      </c>
      <c r="D3" s="395"/>
      <c r="E3" s="395"/>
      <c r="F3" s="396"/>
      <c r="G3" s="479"/>
      <c r="H3" s="3"/>
      <c r="I3" s="4"/>
      <c r="J3" s="1"/>
      <c r="K3" s="2"/>
    </row>
    <row r="4" spans="1:11" ht="18.75" thickBot="1">
      <c r="A4" s="2"/>
      <c r="B4" s="478"/>
      <c r="C4" s="314" t="s">
        <v>406</v>
      </c>
      <c r="D4" s="397"/>
      <c r="E4" s="397"/>
      <c r="F4" s="398"/>
      <c r="G4" s="479"/>
      <c r="H4" s="3"/>
      <c r="I4" s="4"/>
      <c r="J4" s="1"/>
      <c r="K4" s="2"/>
    </row>
    <row r="5" spans="1:11" ht="15">
      <c r="A5" s="2"/>
      <c r="B5" s="1"/>
      <c r="C5" s="246" t="s">
        <v>426</v>
      </c>
      <c r="D5" s="2"/>
      <c r="E5" s="5"/>
      <c r="F5" s="2"/>
      <c r="G5" s="6"/>
      <c r="H5" s="7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6"/>
      <c r="H6" s="1"/>
      <c r="I6" s="4"/>
      <c r="J6" s="1"/>
      <c r="K6" s="2"/>
    </row>
    <row r="7" spans="1:11" ht="18.75" thickBot="1">
      <c r="A7" s="2"/>
      <c r="B7" s="6"/>
      <c r="C7" s="53" t="s">
        <v>0</v>
      </c>
      <c r="D7" s="52" t="s">
        <v>1</v>
      </c>
      <c r="E7" s="54"/>
      <c r="F7" s="53" t="s">
        <v>0</v>
      </c>
      <c r="G7" s="47"/>
      <c r="H7" s="8"/>
      <c r="I7" s="4"/>
      <c r="J7" s="8"/>
      <c r="K7" s="2"/>
    </row>
    <row r="8" spans="1:11" ht="18">
      <c r="A8" s="2"/>
      <c r="B8" s="2"/>
      <c r="C8" s="2"/>
      <c r="D8" s="55" t="s">
        <v>366</v>
      </c>
      <c r="E8" s="56"/>
      <c r="F8" s="46"/>
      <c r="G8" s="46"/>
      <c r="H8" s="1"/>
      <c r="I8" s="2"/>
      <c r="J8" s="1"/>
      <c r="K8" s="2"/>
    </row>
    <row r="9" spans="1:11" ht="18">
      <c r="A9" s="2"/>
      <c r="B9" s="2"/>
      <c r="C9" s="2"/>
      <c r="D9" s="55" t="s">
        <v>2</v>
      </c>
      <c r="E9" s="56"/>
      <c r="F9" s="46"/>
      <c r="G9" s="46"/>
      <c r="H9" s="1"/>
      <c r="I9" s="2"/>
      <c r="J9" s="1"/>
      <c r="K9" s="2"/>
    </row>
    <row r="10" spans="1:11" ht="18.75" thickBot="1">
      <c r="A10" s="2"/>
      <c r="B10" s="1"/>
      <c r="C10" s="4"/>
      <c r="D10" s="55" t="s">
        <v>3</v>
      </c>
      <c r="E10" s="56"/>
      <c r="F10" s="46"/>
      <c r="G10" s="48"/>
      <c r="H10" s="9"/>
      <c r="I10" s="4"/>
      <c r="J10" s="8"/>
      <c r="K10" s="2"/>
    </row>
    <row r="11" spans="1:11" ht="18.75" thickBot="1">
      <c r="A11" s="2"/>
      <c r="B11" s="1"/>
      <c r="C11" s="53" t="s">
        <v>0</v>
      </c>
      <c r="D11" s="57" t="s">
        <v>382</v>
      </c>
      <c r="E11" s="58"/>
      <c r="F11" s="53" t="s">
        <v>0</v>
      </c>
      <c r="G11" s="14"/>
      <c r="H11" s="9"/>
      <c r="I11" s="4"/>
      <c r="J11" s="8"/>
      <c r="K11" s="2"/>
    </row>
    <row r="12" spans="1:11" ht="15.75">
      <c r="A12" s="2"/>
      <c r="B12" s="1"/>
      <c r="C12" s="1"/>
      <c r="D12" s="4"/>
      <c r="E12" s="59"/>
      <c r="F12" s="2"/>
      <c r="G12" s="1"/>
      <c r="H12" s="9"/>
      <c r="I12" s="4"/>
      <c r="J12" s="8"/>
      <c r="K12" s="2"/>
    </row>
    <row r="13" spans="1:11" ht="12.75">
      <c r="A13" s="2"/>
      <c r="B13" s="2"/>
      <c r="C13" s="2"/>
      <c r="D13" s="2"/>
      <c r="E13" s="2"/>
      <c r="F13" s="2"/>
      <c r="G13" s="10"/>
      <c r="H13" s="1"/>
      <c r="I13" s="10"/>
      <c r="J13" s="2"/>
      <c r="K13" s="2"/>
    </row>
    <row r="14" spans="1:7" s="12" customFormat="1" ht="13.5" thickBot="1">
      <c r="A14" s="60"/>
      <c r="B14" s="60"/>
      <c r="C14" s="60"/>
      <c r="D14" s="61"/>
      <c r="E14" s="62"/>
      <c r="F14" s="11"/>
      <c r="G14" s="11"/>
    </row>
    <row r="15" spans="1:255" s="12" customFormat="1" ht="24.75" thickBot="1" thickTop="1">
      <c r="A15" s="63" t="s">
        <v>4</v>
      </c>
      <c r="B15" s="64"/>
      <c r="C15" s="65" t="s">
        <v>5</v>
      </c>
      <c r="D15" s="66" t="s">
        <v>5</v>
      </c>
      <c r="E15" s="67" t="s">
        <v>5</v>
      </c>
      <c r="F15" s="11"/>
      <c r="G15" s="11"/>
      <c r="I15" s="68"/>
      <c r="K15" s="69"/>
      <c r="L15" s="70"/>
      <c r="M15" s="71"/>
      <c r="Q15" s="68"/>
      <c r="S15" s="69"/>
      <c r="T15" s="69"/>
      <c r="U15" s="69"/>
      <c r="V15" s="69"/>
      <c r="W15" s="69"/>
      <c r="X15" s="70"/>
      <c r="Y15" s="71"/>
      <c r="AC15" s="68"/>
      <c r="AE15" s="69"/>
      <c r="AF15" s="70"/>
      <c r="AG15" s="71"/>
      <c r="AK15" s="68"/>
      <c r="AM15" s="69"/>
      <c r="AN15" s="70"/>
      <c r="AO15" s="71"/>
      <c r="AS15" s="68"/>
      <c r="AU15" s="69"/>
      <c r="AV15" s="70"/>
      <c r="AW15" s="71"/>
      <c r="BA15" s="68"/>
      <c r="BC15" s="69"/>
      <c r="BD15" s="70"/>
      <c r="BE15" s="71"/>
      <c r="BI15" s="68"/>
      <c r="BK15" s="69"/>
      <c r="BL15" s="70"/>
      <c r="BM15" s="71"/>
      <c r="BQ15" s="68"/>
      <c r="BS15" s="69"/>
      <c r="BT15" s="70"/>
      <c r="BU15" s="71"/>
      <c r="BY15" s="68"/>
      <c r="CA15" s="69"/>
      <c r="CB15" s="70"/>
      <c r="CC15" s="71"/>
      <c r="CG15" s="68"/>
      <c r="CI15" s="69"/>
      <c r="CJ15" s="70"/>
      <c r="CK15" s="71"/>
      <c r="CO15" s="68"/>
      <c r="CQ15" s="69"/>
      <c r="CR15" s="70"/>
      <c r="CS15" s="71"/>
      <c r="CW15" s="68"/>
      <c r="CY15" s="69"/>
      <c r="CZ15" s="70"/>
      <c r="DA15" s="71"/>
      <c r="DE15" s="68"/>
      <c r="DG15" s="69"/>
      <c r="DH15" s="70"/>
      <c r="DI15" s="71"/>
      <c r="DM15" s="68"/>
      <c r="DO15" s="69"/>
      <c r="DP15" s="70"/>
      <c r="DQ15" s="71"/>
      <c r="DU15" s="68"/>
      <c r="DW15" s="69"/>
      <c r="DX15" s="70"/>
      <c r="DY15" s="71"/>
      <c r="EC15" s="68"/>
      <c r="EE15" s="69"/>
      <c r="EF15" s="70"/>
      <c r="EG15" s="71"/>
      <c r="EK15" s="68"/>
      <c r="EM15" s="69"/>
      <c r="EN15" s="70"/>
      <c r="EO15" s="71"/>
      <c r="ES15" s="68"/>
      <c r="EU15" s="69"/>
      <c r="EV15" s="70"/>
      <c r="EW15" s="71"/>
      <c r="FA15" s="68"/>
      <c r="FC15" s="69"/>
      <c r="FD15" s="70"/>
      <c r="FE15" s="71"/>
      <c r="FI15" s="68"/>
      <c r="FK15" s="69"/>
      <c r="FL15" s="70"/>
      <c r="FM15" s="71"/>
      <c r="FQ15" s="68"/>
      <c r="FS15" s="69"/>
      <c r="FT15" s="70"/>
      <c r="FU15" s="71"/>
      <c r="FY15" s="68"/>
      <c r="GA15" s="69"/>
      <c r="GB15" s="70"/>
      <c r="GC15" s="71"/>
      <c r="GG15" s="68"/>
      <c r="GI15" s="69"/>
      <c r="GJ15" s="70"/>
      <c r="GK15" s="71"/>
      <c r="GO15" s="68"/>
      <c r="GQ15" s="69"/>
      <c r="GR15" s="70"/>
      <c r="GS15" s="71"/>
      <c r="GW15" s="68"/>
      <c r="GY15" s="69"/>
      <c r="GZ15" s="70"/>
      <c r="HA15" s="71"/>
      <c r="HE15" s="68"/>
      <c r="HG15" s="69"/>
      <c r="HH15" s="70"/>
      <c r="HI15" s="71"/>
      <c r="HM15" s="68"/>
      <c r="HO15" s="69"/>
      <c r="HP15" s="70"/>
      <c r="HQ15" s="71"/>
      <c r="HU15" s="68"/>
      <c r="HW15" s="69"/>
      <c r="HX15" s="70"/>
      <c r="HY15" s="71"/>
      <c r="IC15" s="68"/>
      <c r="IE15" s="69"/>
      <c r="IF15" s="70"/>
      <c r="IG15" s="71"/>
      <c r="IK15" s="68"/>
      <c r="IM15" s="69"/>
      <c r="IN15" s="70"/>
      <c r="IO15" s="71"/>
      <c r="IS15" s="68"/>
      <c r="IU15" s="69"/>
    </row>
    <row r="16" spans="1:253" s="12" customFormat="1" ht="20.25">
      <c r="A16" s="72"/>
      <c r="B16" s="73"/>
      <c r="C16" s="73"/>
      <c r="D16" s="61"/>
      <c r="E16" s="62"/>
      <c r="F16" s="11"/>
      <c r="G16" s="11"/>
      <c r="I16" s="74"/>
      <c r="Q16" s="74"/>
      <c r="AC16" s="74"/>
      <c r="AK16" s="74"/>
      <c r="AS16" s="74"/>
      <c r="BA16" s="74"/>
      <c r="BI16" s="74"/>
      <c r="BQ16" s="74"/>
      <c r="BY16" s="74"/>
      <c r="CG16" s="74"/>
      <c r="CO16" s="74"/>
      <c r="CW16" s="74"/>
      <c r="DE16" s="74"/>
      <c r="DM16" s="74"/>
      <c r="DU16" s="74"/>
      <c r="EC16" s="74"/>
      <c r="EK16" s="74"/>
      <c r="ES16" s="74"/>
      <c r="FA16" s="74"/>
      <c r="FI16" s="74"/>
      <c r="FQ16" s="74"/>
      <c r="FY16" s="74"/>
      <c r="GG16" s="74"/>
      <c r="GO16" s="74"/>
      <c r="GW16" s="74"/>
      <c r="HE16" s="74"/>
      <c r="HM16" s="74"/>
      <c r="HU16" s="74"/>
      <c r="IC16" s="74"/>
      <c r="IK16" s="74"/>
      <c r="IS16" s="74"/>
    </row>
    <row r="17" spans="1:253" s="12" customFormat="1" ht="15">
      <c r="A17" s="75"/>
      <c r="B17" s="76"/>
      <c r="C17" s="76"/>
      <c r="D17" s="76"/>
      <c r="E17" s="76"/>
      <c r="F17" s="76"/>
      <c r="G17" s="76"/>
      <c r="I17" s="77"/>
      <c r="Q17" s="77"/>
      <c r="AC17" s="77"/>
      <c r="AK17" s="77"/>
      <c r="AS17" s="77"/>
      <c r="BA17" s="77"/>
      <c r="BI17" s="77"/>
      <c r="BQ17" s="77"/>
      <c r="BY17" s="77"/>
      <c r="CG17" s="77"/>
      <c r="CO17" s="77"/>
      <c r="CW17" s="77"/>
      <c r="DE17" s="77"/>
      <c r="DM17" s="77"/>
      <c r="DU17" s="77"/>
      <c r="EC17" s="77"/>
      <c r="EK17" s="77"/>
      <c r="ES17" s="77"/>
      <c r="FA17" s="77"/>
      <c r="FI17" s="77"/>
      <c r="FQ17" s="77"/>
      <c r="FY17" s="77"/>
      <c r="GG17" s="77"/>
      <c r="GO17" s="77"/>
      <c r="GW17" s="77"/>
      <c r="HE17" s="77"/>
      <c r="HM17" s="77"/>
      <c r="HU17" s="77"/>
      <c r="IC17" s="77"/>
      <c r="IK17" s="77"/>
      <c r="IS17" s="77"/>
    </row>
    <row r="18" spans="1:7" s="12" customFormat="1" ht="15">
      <c r="A18" s="78" t="s">
        <v>6</v>
      </c>
      <c r="B18" s="76"/>
      <c r="C18" s="76"/>
      <c r="D18" s="76"/>
      <c r="E18" s="76"/>
      <c r="F18" s="76"/>
      <c r="G18" s="76"/>
    </row>
    <row r="19" spans="1:7" s="12" customFormat="1" ht="14.25">
      <c r="A19" s="78"/>
      <c r="B19" s="76"/>
      <c r="C19" s="76"/>
      <c r="D19" s="76"/>
      <c r="E19" s="76"/>
      <c r="F19" s="76"/>
      <c r="G19" s="76"/>
    </row>
    <row r="20" spans="1:7" s="12" customFormat="1" ht="15">
      <c r="A20" s="78" t="s">
        <v>7</v>
      </c>
      <c r="B20" s="76"/>
      <c r="C20" s="76"/>
      <c r="D20" s="76"/>
      <c r="E20" s="76"/>
      <c r="F20" s="76"/>
      <c r="G20" s="76"/>
    </row>
    <row r="21" spans="1:7" s="12" customFormat="1" ht="14.25">
      <c r="A21" s="78"/>
      <c r="B21" s="76"/>
      <c r="C21" s="76"/>
      <c r="D21" s="76"/>
      <c r="E21" s="76"/>
      <c r="F21" s="76"/>
      <c r="G21" s="76"/>
    </row>
    <row r="22" spans="1:7" s="12" customFormat="1" ht="14.25">
      <c r="A22" s="78" t="s">
        <v>392</v>
      </c>
      <c r="B22" s="76"/>
      <c r="C22" s="76"/>
      <c r="D22" s="76"/>
      <c r="E22" s="76"/>
      <c r="F22" s="76"/>
      <c r="G22" s="76"/>
    </row>
    <row r="23" spans="1:7" s="12" customFormat="1" ht="14.25">
      <c r="A23" s="78" t="s">
        <v>391</v>
      </c>
      <c r="B23" s="76"/>
      <c r="C23" s="76"/>
      <c r="D23" s="76"/>
      <c r="E23" s="76"/>
      <c r="F23" s="76"/>
      <c r="G23" s="76"/>
    </row>
    <row r="24" spans="1:7" s="12" customFormat="1" ht="14.25">
      <c r="A24" s="78"/>
      <c r="B24" s="76"/>
      <c r="C24" s="76"/>
      <c r="D24" s="76"/>
      <c r="E24" s="76"/>
      <c r="F24" s="76"/>
      <c r="G24" s="76"/>
    </row>
    <row r="25" spans="1:7" s="12" customFormat="1" ht="14.25">
      <c r="A25" s="78" t="s">
        <v>367</v>
      </c>
      <c r="B25" s="76"/>
      <c r="C25" s="76"/>
      <c r="D25" s="76"/>
      <c r="E25" s="76"/>
      <c r="F25" s="76"/>
      <c r="G25" s="76"/>
    </row>
    <row r="26" spans="1:7" s="12" customFormat="1" ht="14.25">
      <c r="A26" s="78" t="s">
        <v>368</v>
      </c>
      <c r="B26" s="76"/>
      <c r="C26" s="76"/>
      <c r="D26" s="76"/>
      <c r="E26" s="76"/>
      <c r="F26" s="76"/>
      <c r="G26" s="76"/>
    </row>
    <row r="27" spans="1:7" s="12" customFormat="1" ht="14.25">
      <c r="A27" s="78"/>
      <c r="B27" s="76"/>
      <c r="C27" s="76"/>
      <c r="D27" s="76"/>
      <c r="E27" s="76"/>
      <c r="F27" s="76"/>
      <c r="G27" s="76"/>
    </row>
    <row r="28" spans="1:7" s="12" customFormat="1" ht="14.25">
      <c r="A28" s="78" t="s">
        <v>369</v>
      </c>
      <c r="B28" s="76"/>
      <c r="C28" s="76"/>
      <c r="D28" s="76"/>
      <c r="E28" s="76"/>
      <c r="F28" s="76"/>
      <c r="G28" s="76"/>
    </row>
    <row r="29" spans="1:7" s="12" customFormat="1" ht="14.25">
      <c r="A29" s="78" t="s">
        <v>370</v>
      </c>
      <c r="B29" s="76"/>
      <c r="C29" s="76"/>
      <c r="D29" s="76"/>
      <c r="E29" s="76"/>
      <c r="F29" s="76"/>
      <c r="G29" s="76"/>
    </row>
    <row r="30" spans="1:7" s="12" customFormat="1" ht="14.25">
      <c r="A30" s="78" t="s">
        <v>371</v>
      </c>
      <c r="B30" s="76"/>
      <c r="C30" s="76"/>
      <c r="D30" s="76"/>
      <c r="F30" s="76"/>
      <c r="G30" s="76"/>
    </row>
    <row r="31" spans="1:7" s="12" customFormat="1" ht="15.75">
      <c r="A31" s="78"/>
      <c r="B31" s="79" t="s">
        <v>372</v>
      </c>
      <c r="C31" s="76"/>
      <c r="D31" s="76"/>
      <c r="E31" s="79"/>
      <c r="F31" s="76"/>
      <c r="G31" s="76"/>
    </row>
    <row r="32" spans="1:7" s="12" customFormat="1" ht="15.75">
      <c r="A32" s="78"/>
      <c r="B32" s="79"/>
      <c r="C32" s="76"/>
      <c r="D32" s="76"/>
      <c r="E32" s="79"/>
      <c r="F32" s="76"/>
      <c r="G32" s="76"/>
    </row>
    <row r="33" spans="1:7" s="12" customFormat="1" ht="15.75">
      <c r="A33" s="78" t="s">
        <v>374</v>
      </c>
      <c r="B33" s="79"/>
      <c r="C33" s="76"/>
      <c r="D33" s="76"/>
      <c r="E33" s="79"/>
      <c r="F33" s="76"/>
      <c r="G33" s="76"/>
    </row>
    <row r="34" spans="1:7" s="12" customFormat="1" ht="15.75">
      <c r="A34" s="78" t="s">
        <v>375</v>
      </c>
      <c r="B34" s="79"/>
      <c r="C34" s="76"/>
      <c r="D34" s="76"/>
      <c r="E34" s="79"/>
      <c r="F34" s="76"/>
      <c r="G34" s="76"/>
    </row>
    <row r="35" spans="1:7" s="12" customFormat="1" ht="15.75">
      <c r="A35" s="78" t="s">
        <v>376</v>
      </c>
      <c r="B35" s="79"/>
      <c r="C35" s="76"/>
      <c r="D35" s="76"/>
      <c r="E35" s="79"/>
      <c r="F35" s="76"/>
      <c r="G35" s="76"/>
    </row>
    <row r="36" spans="1:7" s="12" customFormat="1" ht="15.75">
      <c r="A36" s="78" t="s">
        <v>377</v>
      </c>
      <c r="B36" s="79"/>
      <c r="C36" s="76"/>
      <c r="D36" s="76"/>
      <c r="E36" s="79"/>
      <c r="F36" s="76"/>
      <c r="G36" s="76"/>
    </row>
    <row r="37" spans="1:7" s="12" customFormat="1" ht="15.75">
      <c r="A37" s="78" t="s">
        <v>378</v>
      </c>
      <c r="B37" s="79"/>
      <c r="C37" s="76"/>
      <c r="D37" s="76"/>
      <c r="E37" s="79"/>
      <c r="F37" s="76"/>
      <c r="G37" s="76"/>
    </row>
    <row r="38" spans="1:7" s="12" customFormat="1" ht="15.75">
      <c r="A38" s="78"/>
      <c r="B38" s="79"/>
      <c r="C38" s="76"/>
      <c r="D38" s="76"/>
      <c r="E38" s="79"/>
      <c r="F38" s="76"/>
      <c r="G38" s="76"/>
    </row>
    <row r="39" spans="1:7" s="12" customFormat="1" ht="14.25">
      <c r="A39" s="78" t="s">
        <v>8</v>
      </c>
      <c r="B39" s="76"/>
      <c r="C39" s="76"/>
      <c r="D39" s="76"/>
      <c r="E39" s="76"/>
      <c r="F39" s="76"/>
      <c r="G39" s="76"/>
    </row>
    <row r="40" spans="1:7" s="12" customFormat="1" ht="14.25">
      <c r="A40" s="78" t="s">
        <v>9</v>
      </c>
      <c r="B40" s="76"/>
      <c r="C40" s="76"/>
      <c r="D40" s="76"/>
      <c r="E40" s="76"/>
      <c r="F40" s="76"/>
      <c r="G40" s="76"/>
    </row>
    <row r="41" spans="1:7" s="12" customFormat="1" ht="14.25">
      <c r="A41" s="78" t="s">
        <v>10</v>
      </c>
      <c r="B41" s="76"/>
      <c r="C41" s="76"/>
      <c r="D41" s="76"/>
      <c r="E41" s="76"/>
      <c r="F41" s="76"/>
      <c r="G41" s="76"/>
    </row>
    <row r="42" spans="1:7" s="12" customFormat="1" ht="14.25">
      <c r="A42" s="78"/>
      <c r="B42" s="76"/>
      <c r="C42" s="76"/>
      <c r="D42" s="76"/>
      <c r="E42" s="76"/>
      <c r="F42" s="76"/>
      <c r="G42" s="76"/>
    </row>
    <row r="43" spans="1:7" s="12" customFormat="1" ht="14.25">
      <c r="A43" s="78" t="s">
        <v>498</v>
      </c>
      <c r="B43" s="76"/>
      <c r="C43" s="76"/>
      <c r="D43" s="76"/>
      <c r="E43" s="76"/>
      <c r="F43" s="76"/>
      <c r="G43" s="76"/>
    </row>
    <row r="44" spans="1:7" s="12" customFormat="1" ht="14.25">
      <c r="A44" s="78"/>
      <c r="B44" s="76"/>
      <c r="C44" s="76"/>
      <c r="D44" s="76"/>
      <c r="E44" s="76"/>
      <c r="F44" s="76"/>
      <c r="G44" s="76"/>
    </row>
    <row r="45" spans="1:7" s="12" customFormat="1" ht="14.25">
      <c r="A45" s="78"/>
      <c r="B45" s="76"/>
      <c r="C45" s="76"/>
      <c r="D45" s="76"/>
      <c r="E45" s="76"/>
      <c r="F45" s="76"/>
      <c r="G45" s="76"/>
    </row>
    <row r="46" spans="1:7" s="12" customFormat="1" ht="14.25">
      <c r="A46" s="78" t="s">
        <v>408</v>
      </c>
      <c r="B46" s="76"/>
      <c r="C46" s="76"/>
      <c r="D46" s="76"/>
      <c r="E46" s="76"/>
      <c r="F46" s="76"/>
      <c r="G46" s="76"/>
    </row>
    <row r="47" spans="1:7" s="12" customFormat="1" ht="14.25">
      <c r="A47" s="78"/>
      <c r="B47" s="76"/>
      <c r="C47" s="76"/>
      <c r="D47" s="76"/>
      <c r="E47" s="76"/>
      <c r="F47" s="76"/>
      <c r="G47" s="76"/>
    </row>
    <row r="48" spans="1:7" s="12" customFormat="1" ht="12.75" hidden="1">
      <c r="A48" s="76"/>
      <c r="B48" s="76"/>
      <c r="C48" s="76"/>
      <c r="D48" s="76"/>
      <c r="E48" s="76"/>
      <c r="F48" s="76"/>
      <c r="G48" s="76"/>
    </row>
    <row r="49" spans="1:9" s="12" customFormat="1" ht="16.5" hidden="1" thickBot="1">
      <c r="A49" s="76"/>
      <c r="B49" s="19" t="s">
        <v>34</v>
      </c>
      <c r="C49" s="19">
        <v>0.2725</v>
      </c>
      <c r="D49" s="19" t="s">
        <v>36</v>
      </c>
      <c r="E49" s="19">
        <v>0.3141</v>
      </c>
      <c r="H49" s="11"/>
      <c r="I49" s="149"/>
    </row>
    <row r="50" spans="1:19" s="12" customFormat="1" ht="16.5" hidden="1" thickBot="1">
      <c r="A50" s="76"/>
      <c r="B50" s="18" t="s">
        <v>35</v>
      </c>
      <c r="C50" s="18">
        <v>86.04</v>
      </c>
      <c r="D50" s="18" t="s">
        <v>37</v>
      </c>
      <c r="E50" s="19">
        <v>86.04</v>
      </c>
      <c r="H50" s="150"/>
      <c r="I50" s="151"/>
      <c r="J50" s="150" t="s">
        <v>414</v>
      </c>
      <c r="K50" s="151">
        <v>0.47</v>
      </c>
      <c r="L50" s="150" t="s">
        <v>423</v>
      </c>
      <c r="M50" s="151">
        <v>0.495</v>
      </c>
      <c r="N50" s="150" t="s">
        <v>448</v>
      </c>
      <c r="O50" s="151">
        <v>0.59</v>
      </c>
      <c r="P50" s="150" t="s">
        <v>450</v>
      </c>
      <c r="Q50" s="151">
        <v>0.63</v>
      </c>
      <c r="R50" s="150" t="s">
        <v>482</v>
      </c>
      <c r="S50" s="151">
        <v>0.653</v>
      </c>
    </row>
    <row r="51" spans="1:19" s="12" customFormat="1" ht="16.5" hidden="1" thickBot="1">
      <c r="A51" s="76"/>
      <c r="B51" s="18" t="s">
        <v>38</v>
      </c>
      <c r="C51" s="18">
        <v>84</v>
      </c>
      <c r="D51" s="18" t="s">
        <v>39</v>
      </c>
      <c r="E51" s="125"/>
      <c r="F51" s="12" t="s">
        <v>387</v>
      </c>
      <c r="H51" s="11"/>
      <c r="I51" s="44"/>
      <c r="R51" s="150" t="s">
        <v>481</v>
      </c>
      <c r="S51" s="151">
        <v>0.675</v>
      </c>
    </row>
    <row r="52" spans="1:235" s="12" customFormat="1" ht="16.5" hidden="1" thickBot="1">
      <c r="A52" s="81"/>
      <c r="B52" s="19" t="s">
        <v>40</v>
      </c>
      <c r="C52" s="19">
        <v>0.32</v>
      </c>
      <c r="D52" s="19" t="s">
        <v>41</v>
      </c>
      <c r="E52" s="82">
        <v>0.37</v>
      </c>
      <c r="F52" s="12" t="s">
        <v>388</v>
      </c>
      <c r="G52" s="81"/>
      <c r="H52" s="11"/>
      <c r="I52" s="152"/>
      <c r="K52" s="83"/>
      <c r="M52" s="83"/>
      <c r="O52" s="81"/>
      <c r="R52" s="150" t="s">
        <v>483</v>
      </c>
      <c r="S52" s="151">
        <v>0.7012</v>
      </c>
      <c r="W52" s="81"/>
      <c r="AA52" s="83"/>
      <c r="AE52" s="81"/>
      <c r="AI52" s="83"/>
      <c r="AM52" s="81"/>
      <c r="AQ52" s="83"/>
      <c r="AU52" s="81"/>
      <c r="AY52" s="83"/>
      <c r="BC52" s="81"/>
      <c r="BG52" s="83"/>
      <c r="BK52" s="81"/>
      <c r="BO52" s="83"/>
      <c r="BS52" s="81"/>
      <c r="BW52" s="83"/>
      <c r="CA52" s="81"/>
      <c r="CE52" s="83"/>
      <c r="CI52" s="81"/>
      <c r="CM52" s="83"/>
      <c r="CQ52" s="81"/>
      <c r="CU52" s="83"/>
      <c r="CY52" s="81"/>
      <c r="DC52" s="83"/>
      <c r="DG52" s="81"/>
      <c r="DK52" s="83"/>
      <c r="DO52" s="81"/>
      <c r="DS52" s="83"/>
      <c r="DW52" s="81"/>
      <c r="EA52" s="83"/>
      <c r="EE52" s="81"/>
      <c r="EI52" s="83"/>
      <c r="EM52" s="81"/>
      <c r="EQ52" s="83"/>
      <c r="EU52" s="81"/>
      <c r="EY52" s="83"/>
      <c r="FC52" s="81"/>
      <c r="FG52" s="83"/>
      <c r="FK52" s="81"/>
      <c r="FO52" s="83"/>
      <c r="FS52" s="81"/>
      <c r="FW52" s="83"/>
      <c r="GA52" s="81"/>
      <c r="GE52" s="83"/>
      <c r="GI52" s="81"/>
      <c r="GM52" s="83"/>
      <c r="GQ52" s="81"/>
      <c r="GU52" s="83"/>
      <c r="GY52" s="81"/>
      <c r="HC52" s="83"/>
      <c r="HG52" s="81"/>
      <c r="HK52" s="83"/>
      <c r="HO52" s="81"/>
      <c r="HS52" s="83"/>
      <c r="HW52" s="81"/>
      <c r="IA52" s="83"/>
    </row>
    <row r="53" spans="1:235" s="12" customFormat="1" ht="12.75" hidden="1">
      <c r="A53" s="81"/>
      <c r="B53" s="19" t="s">
        <v>42</v>
      </c>
      <c r="C53" s="19">
        <v>1.8</v>
      </c>
      <c r="D53" s="19" t="s">
        <v>43</v>
      </c>
      <c r="E53" s="82">
        <v>2.7</v>
      </c>
      <c r="G53" s="81"/>
      <c r="H53" s="153"/>
      <c r="I53" s="154"/>
      <c r="K53" s="83"/>
      <c r="M53" s="83"/>
      <c r="O53" s="81"/>
      <c r="W53" s="81"/>
      <c r="AA53" s="83"/>
      <c r="AE53" s="81"/>
      <c r="AI53" s="83"/>
      <c r="AM53" s="81"/>
      <c r="AQ53" s="83"/>
      <c r="AU53" s="81"/>
      <c r="AY53" s="83"/>
      <c r="BC53" s="81"/>
      <c r="BG53" s="83"/>
      <c r="BK53" s="81"/>
      <c r="BO53" s="83"/>
      <c r="BS53" s="81"/>
      <c r="BW53" s="83"/>
      <c r="CA53" s="81"/>
      <c r="CE53" s="83"/>
      <c r="CI53" s="81"/>
      <c r="CM53" s="83"/>
      <c r="CQ53" s="81"/>
      <c r="CU53" s="83"/>
      <c r="CY53" s="81"/>
      <c r="DC53" s="83"/>
      <c r="DG53" s="81"/>
      <c r="DK53" s="83"/>
      <c r="DO53" s="81"/>
      <c r="DS53" s="83"/>
      <c r="DW53" s="81"/>
      <c r="EA53" s="83"/>
      <c r="EE53" s="81"/>
      <c r="EI53" s="83"/>
      <c r="EM53" s="81"/>
      <c r="EQ53" s="83"/>
      <c r="EU53" s="81"/>
      <c r="EY53" s="83"/>
      <c r="FC53" s="81"/>
      <c r="FG53" s="83"/>
      <c r="FK53" s="81"/>
      <c r="FO53" s="83"/>
      <c r="FS53" s="81"/>
      <c r="FW53" s="83"/>
      <c r="GA53" s="81"/>
      <c r="GE53" s="83"/>
      <c r="GI53" s="81"/>
      <c r="GM53" s="83"/>
      <c r="GQ53" s="81"/>
      <c r="GU53" s="83"/>
      <c r="GY53" s="81"/>
      <c r="HC53" s="83"/>
      <c r="HG53" s="81"/>
      <c r="HK53" s="83"/>
      <c r="HO53" s="81"/>
      <c r="HS53" s="83"/>
      <c r="HW53" s="81"/>
      <c r="IA53" s="83"/>
    </row>
    <row r="54" spans="1:9" ht="12.75" hidden="1">
      <c r="A54" s="2"/>
      <c r="B54" s="19" t="s">
        <v>44</v>
      </c>
      <c r="C54" s="19">
        <v>3.528</v>
      </c>
      <c r="D54" s="45" t="s">
        <v>45</v>
      </c>
      <c r="E54" s="19">
        <v>3.528</v>
      </c>
      <c r="F54" s="2"/>
      <c r="H54" s="155"/>
      <c r="I54" s="156"/>
    </row>
    <row r="55" spans="1:13" ht="12.75" hidden="1">
      <c r="A55" s="2"/>
      <c r="B55" s="19" t="s">
        <v>46</v>
      </c>
      <c r="C55" s="19">
        <v>2.51</v>
      </c>
      <c r="D55" s="45" t="s">
        <v>47</v>
      </c>
      <c r="E55" s="19">
        <v>2.51</v>
      </c>
      <c r="F55" s="2"/>
      <c r="H55" s="155"/>
      <c r="I55" s="157"/>
      <c r="J55" s="155" t="s">
        <v>418</v>
      </c>
      <c r="K55" s="157"/>
      <c r="L55" s="155" t="s">
        <v>422</v>
      </c>
      <c r="M55" s="157">
        <f>LOOKUP(D162,porant,cod06cargos)</f>
        <v>620</v>
      </c>
    </row>
    <row r="56" spans="1:19" ht="15.75" hidden="1">
      <c r="A56" s="2"/>
      <c r="B56" s="12"/>
      <c r="C56" s="12"/>
      <c r="D56" s="134" t="s">
        <v>389</v>
      </c>
      <c r="E56" s="136">
        <v>0</v>
      </c>
      <c r="F56" s="2"/>
      <c r="H56" s="155"/>
      <c r="I56" s="156"/>
      <c r="J56" s="155" t="s">
        <v>415</v>
      </c>
      <c r="K56" s="156">
        <v>0.57</v>
      </c>
      <c r="L56" s="155" t="s">
        <v>421</v>
      </c>
      <c r="M56" s="156">
        <v>0.6</v>
      </c>
      <c r="N56" s="155" t="s">
        <v>449</v>
      </c>
      <c r="O56" s="156">
        <v>0.71</v>
      </c>
      <c r="P56" s="155" t="s">
        <v>451</v>
      </c>
      <c r="Q56" s="156">
        <v>0.77</v>
      </c>
      <c r="R56" s="155" t="s">
        <v>484</v>
      </c>
      <c r="S56" s="156">
        <v>0.788</v>
      </c>
    </row>
    <row r="57" spans="1:19" ht="15.75" hidden="1">
      <c r="A57" s="50"/>
      <c r="B57" s="50"/>
      <c r="C57" s="50"/>
      <c r="D57" s="135" t="s">
        <v>390</v>
      </c>
      <c r="E57" s="137">
        <v>0.5</v>
      </c>
      <c r="F57" s="50"/>
      <c r="H57" s="158"/>
      <c r="I57" s="159"/>
      <c r="R57" s="155" t="s">
        <v>485</v>
      </c>
      <c r="S57" s="156">
        <v>0.825</v>
      </c>
    </row>
    <row r="58" spans="1:19" ht="13.5" hidden="1" thickBot="1">
      <c r="A58" s="176"/>
      <c r="B58" s="176"/>
      <c r="C58" s="176"/>
      <c r="D58" s="175"/>
      <c r="E58" s="176"/>
      <c r="F58" s="2"/>
      <c r="H58" s="160" t="s">
        <v>393</v>
      </c>
      <c r="I58" s="161">
        <f>IF(punproljor&lt;620,I59,salminjorcom)</f>
        <v>1040</v>
      </c>
      <c r="L58" s="155" t="s">
        <v>487</v>
      </c>
      <c r="M58" s="157">
        <f>LOOKUP(D162,porant,cod06cargosago08)</f>
        <v>715</v>
      </c>
      <c r="R58" s="155" t="s">
        <v>486</v>
      </c>
      <c r="S58" s="156">
        <v>0.857</v>
      </c>
    </row>
    <row r="59" spans="8:13" ht="12.75" hidden="1">
      <c r="H59" s="14" t="s">
        <v>394</v>
      </c>
      <c r="I59" s="77">
        <v>1040</v>
      </c>
      <c r="L59" s="155" t="s">
        <v>488</v>
      </c>
      <c r="M59" s="157">
        <f>LOOKUP(D162,porant,cod06cargosoct08)</f>
        <v>725</v>
      </c>
    </row>
    <row r="60" spans="6:13" ht="12.75" hidden="1">
      <c r="F60" s="2"/>
      <c r="H60" s="14" t="s">
        <v>395</v>
      </c>
      <c r="I60" s="115">
        <v>1320</v>
      </c>
      <c r="L60" s="155" t="s">
        <v>489</v>
      </c>
      <c r="M60" s="157">
        <f>LOOKUP(D162,porant,cod06cargosdic08)</f>
        <v>730</v>
      </c>
    </row>
    <row r="61" spans="6:9" ht="12.75" hidden="1">
      <c r="F61" s="2"/>
      <c r="I61" s="44"/>
    </row>
    <row r="62" spans="6:9" ht="13.5" hidden="1" thickBot="1">
      <c r="F62" s="2"/>
      <c r="H62" s="11" t="s">
        <v>396</v>
      </c>
      <c r="I62" s="44"/>
    </row>
    <row r="63" spans="6:9" ht="12.75" hidden="1">
      <c r="F63" s="2"/>
      <c r="H63" s="153" t="s">
        <v>397</v>
      </c>
      <c r="I63" s="154">
        <v>0</v>
      </c>
    </row>
    <row r="64" spans="6:9" ht="15.75" hidden="1">
      <c r="F64" s="2"/>
      <c r="H64" s="141" t="s">
        <v>398</v>
      </c>
      <c r="I64" s="159">
        <v>0</v>
      </c>
    </row>
    <row r="65" spans="6:13" ht="15.75" hidden="1">
      <c r="F65" s="2"/>
      <c r="H65" s="141" t="s">
        <v>399</v>
      </c>
      <c r="I65" s="159">
        <v>8.1</v>
      </c>
      <c r="J65" s="141" t="s">
        <v>416</v>
      </c>
      <c r="K65" s="159">
        <v>9.4</v>
      </c>
      <c r="L65" s="141" t="s">
        <v>424</v>
      </c>
      <c r="M65" s="159">
        <v>9.4</v>
      </c>
    </row>
    <row r="66" spans="6:9" ht="13.5" hidden="1" thickBot="1">
      <c r="F66" s="2"/>
      <c r="H66" s="162" t="s">
        <v>400</v>
      </c>
      <c r="I66" s="163">
        <v>0</v>
      </c>
    </row>
    <row r="67" spans="6:9" ht="12.75" hidden="1">
      <c r="F67" s="2"/>
      <c r="I67" s="44"/>
    </row>
    <row r="68" spans="6:9" ht="13.5" hidden="1" thickBot="1">
      <c r="F68" s="2"/>
      <c r="H68" s="11" t="s">
        <v>401</v>
      </c>
      <c r="I68" s="44"/>
    </row>
    <row r="69" spans="6:9" ht="12.75" hidden="1">
      <c r="F69" s="2"/>
      <c r="H69" s="153" t="s">
        <v>402</v>
      </c>
      <c r="I69" s="154">
        <v>0</v>
      </c>
    </row>
    <row r="70" spans="1:9" ht="15.75" hidden="1">
      <c r="A70" s="176"/>
      <c r="B70" s="176"/>
      <c r="C70" s="176"/>
      <c r="D70" s="175"/>
      <c r="E70" s="176"/>
      <c r="F70" s="2"/>
      <c r="H70" s="141" t="s">
        <v>403</v>
      </c>
      <c r="I70" s="159">
        <v>0</v>
      </c>
    </row>
    <row r="71" spans="1:13" ht="15.75" hidden="1">
      <c r="A71" s="176"/>
      <c r="B71" s="176"/>
      <c r="C71" s="176"/>
      <c r="D71" s="175"/>
      <c r="E71" s="176"/>
      <c r="F71" s="2"/>
      <c r="H71" s="141" t="s">
        <v>404</v>
      </c>
      <c r="I71" s="159">
        <v>8.1</v>
      </c>
      <c r="J71" s="141" t="s">
        <v>417</v>
      </c>
      <c r="K71" s="159">
        <v>9.4</v>
      </c>
      <c r="L71" s="141" t="s">
        <v>425</v>
      </c>
      <c r="M71" s="159">
        <v>9.4</v>
      </c>
    </row>
    <row r="72" spans="1:9" ht="13.5" hidden="1" thickBot="1">
      <c r="A72" s="176"/>
      <c r="B72" s="176"/>
      <c r="C72" s="176"/>
      <c r="D72" s="175"/>
      <c r="E72" s="176"/>
      <c r="F72" s="2"/>
      <c r="H72" s="162" t="s">
        <v>405</v>
      </c>
      <c r="I72" s="163">
        <v>0</v>
      </c>
    </row>
    <row r="73" spans="1:9" ht="15.75" hidden="1">
      <c r="A73" s="176"/>
      <c r="B73" s="176"/>
      <c r="C73" s="176"/>
      <c r="D73" s="175"/>
      <c r="E73" s="176"/>
      <c r="F73" s="2"/>
      <c r="H73" s="12"/>
      <c r="I73" s="234"/>
    </row>
    <row r="74" spans="1:9" ht="15.75" hidden="1">
      <c r="A74" s="176"/>
      <c r="B74" s="176"/>
      <c r="C74" s="176"/>
      <c r="D74" s="175"/>
      <c r="E74" s="176"/>
      <c r="F74" s="2"/>
      <c r="H74" s="12"/>
      <c r="I74" s="234"/>
    </row>
    <row r="75" spans="1:9" ht="15.75" hidden="1">
      <c r="A75" s="176"/>
      <c r="B75" s="176"/>
      <c r="C75" s="176"/>
      <c r="D75" s="175"/>
      <c r="E75" s="176"/>
      <c r="F75" s="2"/>
      <c r="H75" s="12"/>
      <c r="I75" s="234"/>
    </row>
    <row r="76" spans="1:4" ht="15.75" hidden="1">
      <c r="A76" s="2"/>
      <c r="C76" s="12"/>
      <c r="D76" s="234"/>
    </row>
    <row r="77" spans="1:4" ht="15.75" hidden="1">
      <c r="A77" s="2"/>
      <c r="C77" s="12"/>
      <c r="D77" s="234"/>
    </row>
    <row r="78" spans="1:18" ht="16.5" hidden="1" thickBot="1">
      <c r="A78" s="2"/>
      <c r="B78" s="2"/>
      <c r="C78" s="2"/>
      <c r="Q78" s="12"/>
      <c r="R78" s="234"/>
    </row>
    <row r="79" spans="1:18" ht="17.25" hidden="1" thickBot="1" thickTop="1">
      <c r="A79" s="2"/>
      <c r="C79" s="262" t="s">
        <v>435</v>
      </c>
      <c r="D79" s="11" t="s">
        <v>439</v>
      </c>
      <c r="E79" s="11" t="s">
        <v>440</v>
      </c>
      <c r="F79" s="144" t="s">
        <v>441</v>
      </c>
      <c r="G79" s="144" t="s">
        <v>442</v>
      </c>
      <c r="H79" s="144" t="s">
        <v>443</v>
      </c>
      <c r="I79" s="144" t="s">
        <v>444</v>
      </c>
      <c r="J79" s="144" t="s">
        <v>445</v>
      </c>
      <c r="K79" s="144" t="s">
        <v>446</v>
      </c>
      <c r="L79" s="164" t="s">
        <v>447</v>
      </c>
      <c r="M79" s="164">
        <v>1</v>
      </c>
      <c r="N79" s="164">
        <v>2</v>
      </c>
      <c r="O79" s="164">
        <v>3</v>
      </c>
      <c r="P79" s="164">
        <v>4</v>
      </c>
      <c r="Q79" s="164">
        <v>5</v>
      </c>
      <c r="R79" s="234"/>
    </row>
    <row r="80" spans="1:18" ht="16.5" hidden="1" thickBot="1">
      <c r="A80" s="2"/>
      <c r="B80" s="263">
        <v>0</v>
      </c>
      <c r="C80" s="264">
        <f aca="true" t="shared" si="0" ref="C80:C91">IF(puntosproljor&lt;620,Q80,L80)</f>
        <v>80</v>
      </c>
      <c r="D80" s="145">
        <v>80</v>
      </c>
      <c r="E80" s="265">
        <v>80</v>
      </c>
      <c r="F80" s="165">
        <v>0</v>
      </c>
      <c r="G80" s="166">
        <v>0</v>
      </c>
      <c r="H80" s="167">
        <v>0</v>
      </c>
      <c r="I80" s="266">
        <v>0</v>
      </c>
      <c r="J80" s="267">
        <v>80</v>
      </c>
      <c r="K80" s="268">
        <v>80</v>
      </c>
      <c r="L80" s="168">
        <f aca="true" t="shared" si="1" ref="L80:L91">IF(punbasjub&gt;971,K80,J80)</f>
        <v>80</v>
      </c>
      <c r="M80" s="168">
        <f aca="true" t="shared" si="2" ref="M80:M91">IF(punbasjub&lt;972,D80,E80)</f>
        <v>80</v>
      </c>
      <c r="N80" s="168">
        <f aca="true" t="shared" si="3" ref="N80:N91">IF(punbasjub&lt;1170,M80,F80)</f>
        <v>80</v>
      </c>
      <c r="O80" s="168">
        <f aca="true" t="shared" si="4" ref="O80:O91">IF(punbasjub&lt;1401,N80,G80)</f>
        <v>80</v>
      </c>
      <c r="P80" s="168">
        <f aca="true" t="shared" si="5" ref="P80:P91">IF(punbasjub&lt;1943,O80,H80)</f>
        <v>80</v>
      </c>
      <c r="Q80" s="168">
        <f aca="true" t="shared" si="6" ref="Q80:Q91">IF(punbasjub&lt;=2220,P80,I80)</f>
        <v>80</v>
      </c>
      <c r="R80" s="234"/>
    </row>
    <row r="81" spans="1:18" ht="16.5" hidden="1" thickBot="1">
      <c r="A81" s="2"/>
      <c r="B81" s="269">
        <v>0.1</v>
      </c>
      <c r="C81" s="264">
        <f t="shared" si="0"/>
        <v>90</v>
      </c>
      <c r="D81" s="145">
        <v>90</v>
      </c>
      <c r="E81" s="270">
        <v>90</v>
      </c>
      <c r="F81" s="165">
        <v>0</v>
      </c>
      <c r="G81" s="166">
        <v>0</v>
      </c>
      <c r="H81" s="167">
        <v>0</v>
      </c>
      <c r="I81" s="266">
        <v>0</v>
      </c>
      <c r="J81" s="267">
        <v>90</v>
      </c>
      <c r="K81" s="268">
        <v>90</v>
      </c>
      <c r="L81" s="168">
        <f t="shared" si="1"/>
        <v>90</v>
      </c>
      <c r="M81" s="168">
        <f t="shared" si="2"/>
        <v>90</v>
      </c>
      <c r="N81" s="168">
        <f t="shared" si="3"/>
        <v>90</v>
      </c>
      <c r="O81" s="168">
        <f t="shared" si="4"/>
        <v>90</v>
      </c>
      <c r="P81" s="168">
        <f t="shared" si="5"/>
        <v>90</v>
      </c>
      <c r="Q81" s="168">
        <f t="shared" si="6"/>
        <v>90</v>
      </c>
      <c r="R81" s="234"/>
    </row>
    <row r="82" spans="1:18" ht="16.5" hidden="1" thickBot="1">
      <c r="A82" s="2"/>
      <c r="B82" s="271">
        <v>0.15</v>
      </c>
      <c r="C82" s="264">
        <f t="shared" si="0"/>
        <v>180</v>
      </c>
      <c r="D82" s="145">
        <v>180</v>
      </c>
      <c r="E82" s="270">
        <v>180</v>
      </c>
      <c r="F82" s="169">
        <v>240</v>
      </c>
      <c r="G82" s="170">
        <v>193</v>
      </c>
      <c r="H82" s="171">
        <v>180</v>
      </c>
      <c r="I82" s="266">
        <v>0</v>
      </c>
      <c r="J82" s="267">
        <v>220</v>
      </c>
      <c r="K82" s="268">
        <v>220</v>
      </c>
      <c r="L82" s="168">
        <f t="shared" si="1"/>
        <v>220</v>
      </c>
      <c r="M82" s="168">
        <f t="shared" si="2"/>
        <v>180</v>
      </c>
      <c r="N82" s="168">
        <f t="shared" si="3"/>
        <v>180</v>
      </c>
      <c r="O82" s="168">
        <f t="shared" si="4"/>
        <v>180</v>
      </c>
      <c r="P82" s="168">
        <f t="shared" si="5"/>
        <v>180</v>
      </c>
      <c r="Q82" s="168">
        <f t="shared" si="6"/>
        <v>180</v>
      </c>
      <c r="R82" s="234"/>
    </row>
    <row r="83" spans="1:18" ht="16.5" hidden="1" thickBot="1">
      <c r="A83" s="2"/>
      <c r="B83" s="271">
        <v>0.3</v>
      </c>
      <c r="C83" s="264">
        <f t="shared" si="0"/>
        <v>225</v>
      </c>
      <c r="D83" s="145">
        <v>225</v>
      </c>
      <c r="E83" s="270">
        <v>195</v>
      </c>
      <c r="F83" s="169">
        <v>240</v>
      </c>
      <c r="G83" s="170">
        <v>193</v>
      </c>
      <c r="H83" s="171">
        <v>180</v>
      </c>
      <c r="I83" s="266">
        <v>0</v>
      </c>
      <c r="J83" s="267">
        <v>380</v>
      </c>
      <c r="K83" s="268">
        <v>350</v>
      </c>
      <c r="L83" s="168">
        <f t="shared" si="1"/>
        <v>380</v>
      </c>
      <c r="M83" s="168">
        <f t="shared" si="2"/>
        <v>225</v>
      </c>
      <c r="N83" s="168">
        <f t="shared" si="3"/>
        <v>225</v>
      </c>
      <c r="O83" s="168">
        <f t="shared" si="4"/>
        <v>225</v>
      </c>
      <c r="P83" s="168">
        <f t="shared" si="5"/>
        <v>225</v>
      </c>
      <c r="Q83" s="168">
        <f t="shared" si="6"/>
        <v>225</v>
      </c>
      <c r="R83" s="234"/>
    </row>
    <row r="84" spans="1:18" ht="16.5" hidden="1" thickBot="1">
      <c r="A84" s="2"/>
      <c r="B84" s="271">
        <v>0.4</v>
      </c>
      <c r="C84" s="264">
        <f t="shared" si="0"/>
        <v>250</v>
      </c>
      <c r="D84" s="145">
        <v>250</v>
      </c>
      <c r="E84" s="270">
        <v>210</v>
      </c>
      <c r="F84" s="169">
        <v>250</v>
      </c>
      <c r="G84" s="170">
        <v>200</v>
      </c>
      <c r="H84" s="171">
        <v>180</v>
      </c>
      <c r="I84" s="266">
        <v>140</v>
      </c>
      <c r="J84" s="267">
        <v>440</v>
      </c>
      <c r="K84" s="268">
        <v>400</v>
      </c>
      <c r="L84" s="168">
        <f t="shared" si="1"/>
        <v>440</v>
      </c>
      <c r="M84" s="168">
        <f t="shared" si="2"/>
        <v>250</v>
      </c>
      <c r="N84" s="168">
        <f t="shared" si="3"/>
        <v>250</v>
      </c>
      <c r="O84" s="168">
        <f t="shared" si="4"/>
        <v>250</v>
      </c>
      <c r="P84" s="168">
        <f t="shared" si="5"/>
        <v>250</v>
      </c>
      <c r="Q84" s="168">
        <f t="shared" si="6"/>
        <v>250</v>
      </c>
      <c r="R84" s="234"/>
    </row>
    <row r="85" spans="1:18" ht="16.5" hidden="1" thickBot="1">
      <c r="A85" s="2"/>
      <c r="B85" s="271">
        <v>0.5</v>
      </c>
      <c r="C85" s="264">
        <f t="shared" si="0"/>
        <v>270</v>
      </c>
      <c r="D85" s="145">
        <v>270</v>
      </c>
      <c r="E85" s="270">
        <v>230</v>
      </c>
      <c r="F85" s="169">
        <v>250</v>
      </c>
      <c r="G85" s="148">
        <v>200</v>
      </c>
      <c r="H85" s="171">
        <v>180</v>
      </c>
      <c r="I85" s="266">
        <v>140</v>
      </c>
      <c r="J85" s="267">
        <v>475</v>
      </c>
      <c r="K85" s="268">
        <v>435</v>
      </c>
      <c r="L85" s="168">
        <f t="shared" si="1"/>
        <v>475</v>
      </c>
      <c r="M85" s="168">
        <f t="shared" si="2"/>
        <v>270</v>
      </c>
      <c r="N85" s="168">
        <f t="shared" si="3"/>
        <v>270</v>
      </c>
      <c r="O85" s="168">
        <f t="shared" si="4"/>
        <v>270</v>
      </c>
      <c r="P85" s="168">
        <f t="shared" si="5"/>
        <v>270</v>
      </c>
      <c r="Q85" s="168">
        <f t="shared" si="6"/>
        <v>270</v>
      </c>
      <c r="R85" s="234"/>
    </row>
    <row r="86" spans="1:18" ht="16.5" hidden="1" thickBot="1">
      <c r="A86" s="2"/>
      <c r="B86" s="271">
        <v>0.6</v>
      </c>
      <c r="C86" s="264">
        <f t="shared" si="0"/>
        <v>320</v>
      </c>
      <c r="D86" s="145">
        <v>320</v>
      </c>
      <c r="E86" s="270">
        <v>260</v>
      </c>
      <c r="F86" s="169">
        <v>260</v>
      </c>
      <c r="G86" s="148">
        <v>203</v>
      </c>
      <c r="H86" s="171">
        <v>190</v>
      </c>
      <c r="I86" s="266">
        <v>160</v>
      </c>
      <c r="J86" s="267">
        <v>510</v>
      </c>
      <c r="K86" s="268">
        <v>450</v>
      </c>
      <c r="L86" s="168">
        <f t="shared" si="1"/>
        <v>510</v>
      </c>
      <c r="M86" s="168">
        <f t="shared" si="2"/>
        <v>320</v>
      </c>
      <c r="N86" s="168">
        <f t="shared" si="3"/>
        <v>320</v>
      </c>
      <c r="O86" s="168">
        <f t="shared" si="4"/>
        <v>320</v>
      </c>
      <c r="P86" s="168">
        <f t="shared" si="5"/>
        <v>320</v>
      </c>
      <c r="Q86" s="168">
        <f t="shared" si="6"/>
        <v>320</v>
      </c>
      <c r="R86" s="234"/>
    </row>
    <row r="87" spans="1:18" ht="16.5" hidden="1" thickBot="1">
      <c r="A87" s="2"/>
      <c r="B87" s="271">
        <v>0.7</v>
      </c>
      <c r="C87" s="264">
        <f t="shared" si="0"/>
        <v>345</v>
      </c>
      <c r="D87" s="145">
        <v>345</v>
      </c>
      <c r="E87" s="270">
        <v>285</v>
      </c>
      <c r="F87" s="169">
        <v>365</v>
      </c>
      <c r="G87" s="148">
        <v>230</v>
      </c>
      <c r="H87" s="171">
        <v>190</v>
      </c>
      <c r="I87" s="266">
        <v>160</v>
      </c>
      <c r="J87" s="267">
        <v>525</v>
      </c>
      <c r="K87" s="268">
        <v>465</v>
      </c>
      <c r="L87" s="168">
        <f t="shared" si="1"/>
        <v>525</v>
      </c>
      <c r="M87" s="168">
        <f t="shared" si="2"/>
        <v>345</v>
      </c>
      <c r="N87" s="168">
        <f t="shared" si="3"/>
        <v>345</v>
      </c>
      <c r="O87" s="168">
        <f t="shared" si="4"/>
        <v>345</v>
      </c>
      <c r="P87" s="168">
        <f t="shared" si="5"/>
        <v>345</v>
      </c>
      <c r="Q87" s="168">
        <f t="shared" si="6"/>
        <v>345</v>
      </c>
      <c r="R87" s="234"/>
    </row>
    <row r="88" spans="1:18" ht="16.5" hidden="1" thickBot="1">
      <c r="A88" s="2"/>
      <c r="B88" s="271">
        <v>0.8</v>
      </c>
      <c r="C88" s="264">
        <f t="shared" si="0"/>
        <v>425</v>
      </c>
      <c r="D88" s="145">
        <v>425</v>
      </c>
      <c r="E88" s="270">
        <v>345</v>
      </c>
      <c r="F88" s="147">
        <v>395</v>
      </c>
      <c r="G88" s="148">
        <v>340</v>
      </c>
      <c r="H88" s="172">
        <v>280</v>
      </c>
      <c r="I88" s="272">
        <v>180</v>
      </c>
      <c r="J88" s="267">
        <v>555</v>
      </c>
      <c r="K88" s="268">
        <v>475</v>
      </c>
      <c r="L88" s="168">
        <f t="shared" si="1"/>
        <v>555</v>
      </c>
      <c r="M88" s="168">
        <f t="shared" si="2"/>
        <v>425</v>
      </c>
      <c r="N88" s="168">
        <f t="shared" si="3"/>
        <v>425</v>
      </c>
      <c r="O88" s="168">
        <f t="shared" si="4"/>
        <v>425</v>
      </c>
      <c r="P88" s="168">
        <f t="shared" si="5"/>
        <v>425</v>
      </c>
      <c r="Q88" s="168">
        <f t="shared" si="6"/>
        <v>425</v>
      </c>
      <c r="R88" s="234"/>
    </row>
    <row r="89" spans="1:18" ht="16.5" hidden="1" thickBot="1">
      <c r="A89" s="2"/>
      <c r="B89" s="271">
        <v>1</v>
      </c>
      <c r="C89" s="264">
        <f t="shared" si="0"/>
        <v>535</v>
      </c>
      <c r="D89" s="145">
        <v>535</v>
      </c>
      <c r="E89" s="270">
        <v>435</v>
      </c>
      <c r="F89" s="147">
        <v>410</v>
      </c>
      <c r="G89" s="148">
        <v>330</v>
      </c>
      <c r="H89" s="172">
        <v>310</v>
      </c>
      <c r="I89" s="272">
        <v>180</v>
      </c>
      <c r="J89" s="267">
        <v>590</v>
      </c>
      <c r="K89" s="268">
        <v>490</v>
      </c>
      <c r="L89" s="168">
        <f t="shared" si="1"/>
        <v>590</v>
      </c>
      <c r="M89" s="168">
        <f t="shared" si="2"/>
        <v>535</v>
      </c>
      <c r="N89" s="168">
        <f t="shared" si="3"/>
        <v>535</v>
      </c>
      <c r="O89" s="168">
        <f t="shared" si="4"/>
        <v>535</v>
      </c>
      <c r="P89" s="168">
        <f t="shared" si="5"/>
        <v>535</v>
      </c>
      <c r="Q89" s="168">
        <f t="shared" si="6"/>
        <v>535</v>
      </c>
      <c r="R89" s="234"/>
    </row>
    <row r="90" spans="1:18" ht="16.5" hidden="1" thickBot="1">
      <c r="A90" s="2"/>
      <c r="B90" s="271">
        <v>1.1</v>
      </c>
      <c r="C90" s="264">
        <f t="shared" si="0"/>
        <v>605</v>
      </c>
      <c r="D90" s="145">
        <v>605</v>
      </c>
      <c r="E90" s="270">
        <v>495</v>
      </c>
      <c r="F90" s="147">
        <v>430</v>
      </c>
      <c r="G90" s="148">
        <v>330</v>
      </c>
      <c r="H90" s="172">
        <v>320</v>
      </c>
      <c r="I90" s="272">
        <v>190</v>
      </c>
      <c r="J90" s="267">
        <v>615</v>
      </c>
      <c r="K90" s="268">
        <v>505</v>
      </c>
      <c r="L90" s="168">
        <f t="shared" si="1"/>
        <v>615</v>
      </c>
      <c r="M90" s="168">
        <f t="shared" si="2"/>
        <v>605</v>
      </c>
      <c r="N90" s="168">
        <f t="shared" si="3"/>
        <v>605</v>
      </c>
      <c r="O90" s="168">
        <f t="shared" si="4"/>
        <v>605</v>
      </c>
      <c r="P90" s="168">
        <f t="shared" si="5"/>
        <v>605</v>
      </c>
      <c r="Q90" s="168">
        <f t="shared" si="6"/>
        <v>605</v>
      </c>
      <c r="R90" s="234"/>
    </row>
    <row r="91" spans="1:18" ht="16.5" hidden="1" thickBot="1">
      <c r="A91" s="2"/>
      <c r="B91" s="273">
        <v>1.2</v>
      </c>
      <c r="C91" s="274">
        <f t="shared" si="0"/>
        <v>620</v>
      </c>
      <c r="D91" s="145">
        <v>620</v>
      </c>
      <c r="E91" s="270">
        <v>510</v>
      </c>
      <c r="F91" s="147">
        <v>480</v>
      </c>
      <c r="G91" s="148">
        <v>335</v>
      </c>
      <c r="H91" s="172">
        <v>330</v>
      </c>
      <c r="I91" s="272">
        <v>190</v>
      </c>
      <c r="J91" s="267">
        <v>620</v>
      </c>
      <c r="K91" s="268">
        <v>510</v>
      </c>
      <c r="L91" s="168">
        <f t="shared" si="1"/>
        <v>620</v>
      </c>
      <c r="M91" s="168">
        <f t="shared" si="2"/>
        <v>620</v>
      </c>
      <c r="N91" s="168">
        <f t="shared" si="3"/>
        <v>620</v>
      </c>
      <c r="O91" s="168">
        <f t="shared" si="4"/>
        <v>620</v>
      </c>
      <c r="P91" s="168">
        <f t="shared" si="5"/>
        <v>620</v>
      </c>
      <c r="Q91" s="168">
        <f t="shared" si="6"/>
        <v>620</v>
      </c>
      <c r="R91" s="234"/>
    </row>
    <row r="92" spans="1:26" ht="15.75" hidden="1">
      <c r="A92" s="174"/>
      <c r="B92" s="175"/>
      <c r="C92" s="176"/>
      <c r="D92" s="176"/>
      <c r="E92" s="176"/>
      <c r="F92" s="176"/>
      <c r="G92" s="175"/>
      <c r="H92" s="176"/>
      <c r="I92" s="2"/>
      <c r="J92" s="2"/>
      <c r="K92" s="2"/>
      <c r="Y92" s="12"/>
      <c r="Z92" s="234"/>
    </row>
    <row r="93" spans="1:26" ht="15.75" hidden="1">
      <c r="A93" s="174"/>
      <c r="B93" s="175"/>
      <c r="C93" s="176"/>
      <c r="D93" s="176"/>
      <c r="E93" s="176"/>
      <c r="F93" s="176"/>
      <c r="G93" s="175"/>
      <c r="H93" s="176"/>
      <c r="I93" s="2"/>
      <c r="J93" s="2"/>
      <c r="K93" s="2"/>
      <c r="Y93" s="12"/>
      <c r="Z93" s="234"/>
    </row>
    <row r="94" spans="1:26" ht="24" hidden="1" thickBot="1">
      <c r="A94" s="174"/>
      <c r="E94" s="413" t="s">
        <v>475</v>
      </c>
      <c r="N94" s="76"/>
      <c r="O94" s="76"/>
      <c r="Y94" s="12"/>
      <c r="Z94" s="234"/>
    </row>
    <row r="95" spans="1:26" ht="17.25" hidden="1" thickBot="1" thickTop="1">
      <c r="A95" s="174"/>
      <c r="C95" s="262" t="s">
        <v>435</v>
      </c>
      <c r="D95" s="11" t="s">
        <v>439</v>
      </c>
      <c r="E95" s="11" t="s">
        <v>440</v>
      </c>
      <c r="F95" s="144" t="s">
        <v>441</v>
      </c>
      <c r="G95" s="144" t="s">
        <v>442</v>
      </c>
      <c r="H95" s="144" t="s">
        <v>443</v>
      </c>
      <c r="I95" s="144" t="s">
        <v>444</v>
      </c>
      <c r="J95" s="144" t="s">
        <v>445</v>
      </c>
      <c r="K95" s="144" t="s">
        <v>446</v>
      </c>
      <c r="L95" s="164" t="s">
        <v>447</v>
      </c>
      <c r="M95" s="164">
        <v>1</v>
      </c>
      <c r="N95" s="164">
        <v>2</v>
      </c>
      <c r="O95" s="164">
        <v>3</v>
      </c>
      <c r="P95" s="164">
        <v>4</v>
      </c>
      <c r="Q95" s="164">
        <v>5</v>
      </c>
      <c r="Y95" s="12"/>
      <c r="Z95" s="234"/>
    </row>
    <row r="96" spans="1:26" ht="16.5" hidden="1" thickBot="1">
      <c r="A96" s="174"/>
      <c r="B96" s="263">
        <v>0</v>
      </c>
      <c r="C96" s="264">
        <f aca="true" t="shared" si="7" ref="C96:C107">IF(puntosproljor&lt;620,Q96,L96)</f>
        <v>160</v>
      </c>
      <c r="D96" s="145">
        <v>160</v>
      </c>
      <c r="E96" s="265">
        <v>80</v>
      </c>
      <c r="F96" s="165">
        <v>0</v>
      </c>
      <c r="G96" s="166">
        <v>0</v>
      </c>
      <c r="H96" s="167">
        <v>0</v>
      </c>
      <c r="I96" s="266">
        <v>0</v>
      </c>
      <c r="J96" s="267">
        <v>160</v>
      </c>
      <c r="K96" s="268">
        <v>80</v>
      </c>
      <c r="L96" s="168">
        <f aca="true" t="shared" si="8" ref="L96:L107">IF(PUNTOSbasicos&gt;971,K96,J96)</f>
        <v>160</v>
      </c>
      <c r="M96" s="168">
        <f aca="true" t="shared" si="9" ref="M96:M107">IF(PUNTOSbasicos&lt;972,D96,E96)</f>
        <v>160</v>
      </c>
      <c r="N96" s="168">
        <f aca="true" t="shared" si="10" ref="N96:N107">IF(PUNTOSbasicos&lt;1170,M96,F96)</f>
        <v>160</v>
      </c>
      <c r="O96" s="168">
        <f aca="true" t="shared" si="11" ref="O96:O107">IF(PUNTOSbasicos&lt;1401,N96,G96)</f>
        <v>160</v>
      </c>
      <c r="P96" s="168">
        <f aca="true" t="shared" si="12" ref="P96:P107">IF(PUNTOSbasicos&lt;1943,O96,H96)</f>
        <v>160</v>
      </c>
      <c r="Q96" s="168">
        <f aca="true" t="shared" si="13" ref="Q96:Q107">IF(PUNTOSbasicos&lt;=2220,P96,I96)</f>
        <v>160</v>
      </c>
      <c r="Y96" s="12"/>
      <c r="Z96" s="234"/>
    </row>
    <row r="97" spans="1:26" ht="16.5" hidden="1" thickBot="1">
      <c r="A97" s="174"/>
      <c r="B97" s="269">
        <v>0.1</v>
      </c>
      <c r="C97" s="264">
        <f t="shared" si="7"/>
        <v>175</v>
      </c>
      <c r="D97" s="145">
        <v>175</v>
      </c>
      <c r="E97" s="270">
        <v>90</v>
      </c>
      <c r="F97" s="165">
        <v>0</v>
      </c>
      <c r="G97" s="166">
        <v>0</v>
      </c>
      <c r="H97" s="167">
        <v>0</v>
      </c>
      <c r="I97" s="266">
        <v>0</v>
      </c>
      <c r="J97" s="267">
        <v>175</v>
      </c>
      <c r="K97" s="268">
        <v>90</v>
      </c>
      <c r="L97" s="168">
        <f t="shared" si="8"/>
        <v>175</v>
      </c>
      <c r="M97" s="168">
        <f t="shared" si="9"/>
        <v>175</v>
      </c>
      <c r="N97" s="168">
        <f t="shared" si="10"/>
        <v>175</v>
      </c>
      <c r="O97" s="168">
        <f t="shared" si="11"/>
        <v>175</v>
      </c>
      <c r="P97" s="168">
        <f t="shared" si="12"/>
        <v>175</v>
      </c>
      <c r="Q97" s="168">
        <f t="shared" si="13"/>
        <v>175</v>
      </c>
      <c r="Y97" s="12"/>
      <c r="Z97" s="234"/>
    </row>
    <row r="98" spans="1:26" ht="16.5" hidden="1" thickBot="1">
      <c r="A98" s="174"/>
      <c r="B98" s="271">
        <v>0.15</v>
      </c>
      <c r="C98" s="264">
        <f t="shared" si="7"/>
        <v>270</v>
      </c>
      <c r="D98" s="145">
        <v>270</v>
      </c>
      <c r="E98" s="270">
        <v>180</v>
      </c>
      <c r="F98" s="169">
        <v>240</v>
      </c>
      <c r="G98" s="170">
        <v>193</v>
      </c>
      <c r="H98" s="171">
        <v>180</v>
      </c>
      <c r="I98" s="266">
        <v>0</v>
      </c>
      <c r="J98" s="267">
        <v>310</v>
      </c>
      <c r="K98" s="268">
        <v>220</v>
      </c>
      <c r="L98" s="168">
        <f t="shared" si="8"/>
        <v>310</v>
      </c>
      <c r="M98" s="168">
        <f t="shared" si="9"/>
        <v>270</v>
      </c>
      <c r="N98" s="168">
        <f t="shared" si="10"/>
        <v>270</v>
      </c>
      <c r="O98" s="168">
        <f t="shared" si="11"/>
        <v>270</v>
      </c>
      <c r="P98" s="168">
        <f t="shared" si="12"/>
        <v>270</v>
      </c>
      <c r="Q98" s="168">
        <f t="shared" si="13"/>
        <v>270</v>
      </c>
      <c r="Y98" s="12"/>
      <c r="Z98" s="234"/>
    </row>
    <row r="99" spans="1:26" ht="16.5" hidden="1" thickBot="1">
      <c r="A99" s="174"/>
      <c r="B99" s="271">
        <v>0.3</v>
      </c>
      <c r="C99" s="264">
        <f t="shared" si="7"/>
        <v>320</v>
      </c>
      <c r="D99" s="145">
        <v>320</v>
      </c>
      <c r="E99" s="270">
        <v>195</v>
      </c>
      <c r="F99" s="169">
        <v>240</v>
      </c>
      <c r="G99" s="170">
        <v>193</v>
      </c>
      <c r="H99" s="171">
        <v>180</v>
      </c>
      <c r="I99" s="266">
        <v>0</v>
      </c>
      <c r="J99" s="267">
        <v>475</v>
      </c>
      <c r="K99" s="268">
        <v>350</v>
      </c>
      <c r="L99" s="168">
        <f t="shared" si="8"/>
        <v>475</v>
      </c>
      <c r="M99" s="168">
        <f t="shared" si="9"/>
        <v>320</v>
      </c>
      <c r="N99" s="168">
        <f t="shared" si="10"/>
        <v>320</v>
      </c>
      <c r="O99" s="168">
        <f t="shared" si="11"/>
        <v>320</v>
      </c>
      <c r="P99" s="168">
        <f t="shared" si="12"/>
        <v>320</v>
      </c>
      <c r="Q99" s="168">
        <f t="shared" si="13"/>
        <v>320</v>
      </c>
      <c r="Y99" s="12"/>
      <c r="Z99" s="234"/>
    </row>
    <row r="100" spans="1:26" ht="16.5" hidden="1" thickBot="1">
      <c r="A100" s="174"/>
      <c r="B100" s="271">
        <v>0.4</v>
      </c>
      <c r="C100" s="264">
        <f t="shared" si="7"/>
        <v>350</v>
      </c>
      <c r="D100" s="145">
        <v>350</v>
      </c>
      <c r="E100" s="270">
        <v>210</v>
      </c>
      <c r="F100" s="169">
        <v>250</v>
      </c>
      <c r="G100" s="170">
        <v>200</v>
      </c>
      <c r="H100" s="171">
        <v>180</v>
      </c>
      <c r="I100" s="266">
        <v>140</v>
      </c>
      <c r="J100" s="267">
        <v>540</v>
      </c>
      <c r="K100" s="268">
        <v>400</v>
      </c>
      <c r="L100" s="168">
        <f t="shared" si="8"/>
        <v>540</v>
      </c>
      <c r="M100" s="168">
        <f t="shared" si="9"/>
        <v>350</v>
      </c>
      <c r="N100" s="168">
        <f t="shared" si="10"/>
        <v>350</v>
      </c>
      <c r="O100" s="168">
        <f t="shared" si="11"/>
        <v>350</v>
      </c>
      <c r="P100" s="168">
        <f t="shared" si="12"/>
        <v>350</v>
      </c>
      <c r="Q100" s="168">
        <f t="shared" si="13"/>
        <v>350</v>
      </c>
      <c r="Y100" s="12"/>
      <c r="Z100" s="234"/>
    </row>
    <row r="101" spans="1:26" ht="16.5" hidden="1" thickBot="1">
      <c r="A101" s="174"/>
      <c r="B101" s="271">
        <v>0.5</v>
      </c>
      <c r="C101" s="264">
        <f t="shared" si="7"/>
        <v>375</v>
      </c>
      <c r="D101" s="145">
        <v>375</v>
      </c>
      <c r="E101" s="270">
        <v>230</v>
      </c>
      <c r="F101" s="169">
        <v>250</v>
      </c>
      <c r="G101" s="148">
        <v>200</v>
      </c>
      <c r="H101" s="171">
        <v>180</v>
      </c>
      <c r="I101" s="266">
        <v>140</v>
      </c>
      <c r="J101" s="267">
        <v>580</v>
      </c>
      <c r="K101" s="268">
        <v>435</v>
      </c>
      <c r="L101" s="168">
        <f t="shared" si="8"/>
        <v>580</v>
      </c>
      <c r="M101" s="168">
        <f t="shared" si="9"/>
        <v>375</v>
      </c>
      <c r="N101" s="168">
        <f t="shared" si="10"/>
        <v>375</v>
      </c>
      <c r="O101" s="168">
        <f t="shared" si="11"/>
        <v>375</v>
      </c>
      <c r="P101" s="168">
        <f t="shared" si="12"/>
        <v>375</v>
      </c>
      <c r="Q101" s="168">
        <f t="shared" si="13"/>
        <v>375</v>
      </c>
      <c r="Y101" s="12"/>
      <c r="Z101" s="234"/>
    </row>
    <row r="102" spans="1:26" ht="16.5" hidden="1" thickBot="1">
      <c r="A102" s="174"/>
      <c r="B102" s="271">
        <v>0.6</v>
      </c>
      <c r="C102" s="264">
        <f t="shared" si="7"/>
        <v>430</v>
      </c>
      <c r="D102" s="145">
        <v>430</v>
      </c>
      <c r="E102" s="270">
        <v>260</v>
      </c>
      <c r="F102" s="169">
        <v>260</v>
      </c>
      <c r="G102" s="148">
        <v>203</v>
      </c>
      <c r="H102" s="171">
        <v>190</v>
      </c>
      <c r="I102" s="266">
        <v>160</v>
      </c>
      <c r="J102" s="267">
        <v>620</v>
      </c>
      <c r="K102" s="268">
        <v>450</v>
      </c>
      <c r="L102" s="168">
        <f t="shared" si="8"/>
        <v>620</v>
      </c>
      <c r="M102" s="168">
        <f t="shared" si="9"/>
        <v>430</v>
      </c>
      <c r="N102" s="168">
        <f t="shared" si="10"/>
        <v>430</v>
      </c>
      <c r="O102" s="168">
        <f t="shared" si="11"/>
        <v>430</v>
      </c>
      <c r="P102" s="168">
        <f t="shared" si="12"/>
        <v>430</v>
      </c>
      <c r="Q102" s="168">
        <f t="shared" si="13"/>
        <v>430</v>
      </c>
      <c r="Y102" s="12"/>
      <c r="Z102" s="234"/>
    </row>
    <row r="103" spans="1:26" ht="16.5" hidden="1" thickBot="1">
      <c r="A103" s="174"/>
      <c r="B103" s="271">
        <v>0.7</v>
      </c>
      <c r="C103" s="264">
        <f t="shared" si="7"/>
        <v>415</v>
      </c>
      <c r="D103" s="145">
        <v>415</v>
      </c>
      <c r="E103" s="270">
        <v>285</v>
      </c>
      <c r="F103" s="169">
        <v>365</v>
      </c>
      <c r="G103" s="148">
        <v>230</v>
      </c>
      <c r="H103" s="171">
        <v>190</v>
      </c>
      <c r="I103" s="266">
        <v>160</v>
      </c>
      <c r="J103" s="267">
        <v>595</v>
      </c>
      <c r="K103" s="268">
        <v>465</v>
      </c>
      <c r="L103" s="168">
        <f t="shared" si="8"/>
        <v>595</v>
      </c>
      <c r="M103" s="168">
        <f t="shared" si="9"/>
        <v>415</v>
      </c>
      <c r="N103" s="168">
        <f t="shared" si="10"/>
        <v>415</v>
      </c>
      <c r="O103" s="168">
        <f t="shared" si="11"/>
        <v>415</v>
      </c>
      <c r="P103" s="168">
        <f t="shared" si="12"/>
        <v>415</v>
      </c>
      <c r="Q103" s="168">
        <f t="shared" si="13"/>
        <v>415</v>
      </c>
      <c r="Y103" s="12"/>
      <c r="Z103" s="234"/>
    </row>
    <row r="104" spans="1:26" ht="16.5" hidden="1" thickBot="1">
      <c r="A104" s="174"/>
      <c r="B104" s="271">
        <v>0.8</v>
      </c>
      <c r="C104" s="264">
        <f t="shared" si="7"/>
        <v>500</v>
      </c>
      <c r="D104" s="145">
        <v>500</v>
      </c>
      <c r="E104" s="270">
        <v>345</v>
      </c>
      <c r="F104" s="147">
        <v>395</v>
      </c>
      <c r="G104" s="148">
        <v>340</v>
      </c>
      <c r="H104" s="172">
        <v>280</v>
      </c>
      <c r="I104" s="272">
        <v>180</v>
      </c>
      <c r="J104" s="267">
        <v>630</v>
      </c>
      <c r="K104" s="268">
        <v>475</v>
      </c>
      <c r="L104" s="168">
        <f t="shared" si="8"/>
        <v>630</v>
      </c>
      <c r="M104" s="168">
        <f t="shared" si="9"/>
        <v>500</v>
      </c>
      <c r="N104" s="168">
        <f t="shared" si="10"/>
        <v>500</v>
      </c>
      <c r="O104" s="168">
        <f t="shared" si="11"/>
        <v>500</v>
      </c>
      <c r="P104" s="168">
        <f t="shared" si="12"/>
        <v>500</v>
      </c>
      <c r="Q104" s="168">
        <f t="shared" si="13"/>
        <v>500</v>
      </c>
      <c r="Y104" s="12"/>
      <c r="Z104" s="234"/>
    </row>
    <row r="105" spans="1:26" ht="16.5" hidden="1" thickBot="1">
      <c r="A105" s="174"/>
      <c r="B105" s="271">
        <v>1</v>
      </c>
      <c r="C105" s="264">
        <f t="shared" si="7"/>
        <v>620</v>
      </c>
      <c r="D105" s="145">
        <v>620</v>
      </c>
      <c r="E105" s="270">
        <v>435</v>
      </c>
      <c r="F105" s="147">
        <v>410</v>
      </c>
      <c r="G105" s="148">
        <v>330</v>
      </c>
      <c r="H105" s="172">
        <v>310</v>
      </c>
      <c r="I105" s="272">
        <v>180</v>
      </c>
      <c r="J105" s="267">
        <v>675</v>
      </c>
      <c r="K105" s="268">
        <v>490</v>
      </c>
      <c r="L105" s="168">
        <f t="shared" si="8"/>
        <v>675</v>
      </c>
      <c r="M105" s="168">
        <f t="shared" si="9"/>
        <v>620</v>
      </c>
      <c r="N105" s="168">
        <f t="shared" si="10"/>
        <v>620</v>
      </c>
      <c r="O105" s="168">
        <f t="shared" si="11"/>
        <v>620</v>
      </c>
      <c r="P105" s="168">
        <f t="shared" si="12"/>
        <v>620</v>
      </c>
      <c r="Q105" s="168">
        <f t="shared" si="13"/>
        <v>620</v>
      </c>
      <c r="Y105" s="12"/>
      <c r="Z105" s="234"/>
    </row>
    <row r="106" spans="1:26" ht="16.5" hidden="1" thickBot="1">
      <c r="A106" s="174"/>
      <c r="B106" s="271">
        <v>1.1</v>
      </c>
      <c r="C106" s="264">
        <f t="shared" si="7"/>
        <v>695</v>
      </c>
      <c r="D106" s="145">
        <v>695</v>
      </c>
      <c r="E106" s="270">
        <v>495</v>
      </c>
      <c r="F106" s="147">
        <v>430</v>
      </c>
      <c r="G106" s="148">
        <v>330</v>
      </c>
      <c r="H106" s="172">
        <v>320</v>
      </c>
      <c r="I106" s="272">
        <v>190</v>
      </c>
      <c r="J106" s="267">
        <v>705</v>
      </c>
      <c r="K106" s="268">
        <v>505</v>
      </c>
      <c r="L106" s="168">
        <f t="shared" si="8"/>
        <v>705</v>
      </c>
      <c r="M106" s="168">
        <f t="shared" si="9"/>
        <v>695</v>
      </c>
      <c r="N106" s="168">
        <f t="shared" si="10"/>
        <v>695</v>
      </c>
      <c r="O106" s="168">
        <f t="shared" si="11"/>
        <v>695</v>
      </c>
      <c r="P106" s="168">
        <f t="shared" si="12"/>
        <v>695</v>
      </c>
      <c r="Q106" s="168">
        <f t="shared" si="13"/>
        <v>695</v>
      </c>
      <c r="Y106" s="12"/>
      <c r="Z106" s="234"/>
    </row>
    <row r="107" spans="1:26" ht="16.5" hidden="1" thickBot="1">
      <c r="A107" s="174"/>
      <c r="B107" s="273">
        <v>1.2</v>
      </c>
      <c r="C107" s="274">
        <f t="shared" si="7"/>
        <v>715</v>
      </c>
      <c r="D107" s="145">
        <v>715</v>
      </c>
      <c r="E107" s="270">
        <v>510</v>
      </c>
      <c r="F107" s="147">
        <v>480</v>
      </c>
      <c r="G107" s="148">
        <v>335</v>
      </c>
      <c r="H107" s="172">
        <v>330</v>
      </c>
      <c r="I107" s="272">
        <v>190</v>
      </c>
      <c r="J107" s="267">
        <v>715</v>
      </c>
      <c r="K107" s="268">
        <v>510</v>
      </c>
      <c r="L107" s="168">
        <f t="shared" si="8"/>
        <v>715</v>
      </c>
      <c r="M107" s="168">
        <f t="shared" si="9"/>
        <v>715</v>
      </c>
      <c r="N107" s="168">
        <f t="shared" si="10"/>
        <v>715</v>
      </c>
      <c r="O107" s="168">
        <f t="shared" si="11"/>
        <v>715</v>
      </c>
      <c r="P107" s="168">
        <f t="shared" si="12"/>
        <v>715</v>
      </c>
      <c r="Q107" s="168">
        <f t="shared" si="13"/>
        <v>715</v>
      </c>
      <c r="Y107" s="12"/>
      <c r="Z107" s="234"/>
    </row>
    <row r="108" spans="1:26" ht="15.75" hidden="1">
      <c r="A108" s="174"/>
      <c r="N108" s="76"/>
      <c r="O108" s="76"/>
      <c r="Y108" s="12"/>
      <c r="Z108" s="234"/>
    </row>
    <row r="109" spans="1:26" ht="24" hidden="1" thickBot="1">
      <c r="A109" s="174"/>
      <c r="E109" s="413" t="s">
        <v>476</v>
      </c>
      <c r="N109" s="76"/>
      <c r="O109" s="76"/>
      <c r="Y109" s="12"/>
      <c r="Z109" s="234"/>
    </row>
    <row r="110" spans="1:26" ht="17.25" hidden="1" thickBot="1" thickTop="1">
      <c r="A110" s="174"/>
      <c r="C110" s="262" t="s">
        <v>435</v>
      </c>
      <c r="D110" s="11" t="s">
        <v>439</v>
      </c>
      <c r="E110" s="11" t="s">
        <v>440</v>
      </c>
      <c r="F110" s="144" t="s">
        <v>441</v>
      </c>
      <c r="G110" s="144" t="s">
        <v>442</v>
      </c>
      <c r="H110" s="144" t="s">
        <v>443</v>
      </c>
      <c r="I110" s="144" t="s">
        <v>444</v>
      </c>
      <c r="J110" s="144" t="s">
        <v>445</v>
      </c>
      <c r="K110" s="144" t="s">
        <v>446</v>
      </c>
      <c r="L110" s="164" t="s">
        <v>447</v>
      </c>
      <c r="M110" s="164">
        <v>1</v>
      </c>
      <c r="N110" s="164">
        <v>2</v>
      </c>
      <c r="O110" s="164">
        <v>3</v>
      </c>
      <c r="P110" s="164">
        <v>4</v>
      </c>
      <c r="Q110" s="164">
        <v>5</v>
      </c>
      <c r="Y110" s="12"/>
      <c r="Z110" s="234"/>
    </row>
    <row r="111" spans="1:26" ht="16.5" hidden="1" thickBot="1">
      <c r="A111" s="174"/>
      <c r="B111" s="263">
        <v>0</v>
      </c>
      <c r="C111" s="264">
        <f aca="true" t="shared" si="14" ref="C111:C122">IF(puntosproljor&lt;620,Q111,L111)</f>
        <v>170</v>
      </c>
      <c r="D111" s="145">
        <v>170</v>
      </c>
      <c r="E111" s="265">
        <v>80</v>
      </c>
      <c r="F111" s="165">
        <v>0</v>
      </c>
      <c r="G111" s="166">
        <v>0</v>
      </c>
      <c r="H111" s="167">
        <v>0</v>
      </c>
      <c r="I111" s="266">
        <v>0</v>
      </c>
      <c r="J111" s="267">
        <v>170</v>
      </c>
      <c r="K111" s="268">
        <v>80</v>
      </c>
      <c r="L111" s="168">
        <f aca="true" t="shared" si="15" ref="L111:L122">IF(PUNTOSbasicos&gt;971,K111,J111)</f>
        <v>170</v>
      </c>
      <c r="M111" s="168">
        <f aca="true" t="shared" si="16" ref="M111:M122">IF(PUNTOSbasicos&lt;972,D111,E111)</f>
        <v>170</v>
      </c>
      <c r="N111" s="168">
        <f aca="true" t="shared" si="17" ref="N111:N122">IF(PUNTOSbasicos&lt;1170,M111,F111)</f>
        <v>170</v>
      </c>
      <c r="O111" s="168">
        <f aca="true" t="shared" si="18" ref="O111:O122">IF(PUNTOSbasicos&lt;1401,N111,G111)</f>
        <v>170</v>
      </c>
      <c r="P111" s="168">
        <f aca="true" t="shared" si="19" ref="P111:P122">IF(PUNTOSbasicos&lt;1943,O111,H111)</f>
        <v>170</v>
      </c>
      <c r="Q111" s="168">
        <f aca="true" t="shared" si="20" ref="Q111:Q122">IF(PUNTOSbasicos&lt;=2220,P111,I111)</f>
        <v>170</v>
      </c>
      <c r="Y111" s="12"/>
      <c r="Z111" s="234"/>
    </row>
    <row r="112" spans="1:26" ht="16.5" hidden="1" thickBot="1">
      <c r="A112" s="174"/>
      <c r="B112" s="269">
        <v>0.1</v>
      </c>
      <c r="C112" s="264">
        <f t="shared" si="14"/>
        <v>185</v>
      </c>
      <c r="D112" s="145">
        <v>185</v>
      </c>
      <c r="E112" s="270">
        <v>90</v>
      </c>
      <c r="F112" s="165">
        <v>0</v>
      </c>
      <c r="G112" s="166">
        <v>0</v>
      </c>
      <c r="H112" s="167">
        <v>0</v>
      </c>
      <c r="I112" s="266">
        <v>0</v>
      </c>
      <c r="J112" s="267">
        <v>185</v>
      </c>
      <c r="K112" s="268">
        <v>90</v>
      </c>
      <c r="L112" s="168">
        <f t="shared" si="15"/>
        <v>185</v>
      </c>
      <c r="M112" s="168">
        <f t="shared" si="16"/>
        <v>185</v>
      </c>
      <c r="N112" s="168">
        <f t="shared" si="17"/>
        <v>185</v>
      </c>
      <c r="O112" s="168">
        <f t="shared" si="18"/>
        <v>185</v>
      </c>
      <c r="P112" s="168">
        <f t="shared" si="19"/>
        <v>185</v>
      </c>
      <c r="Q112" s="168">
        <f t="shared" si="20"/>
        <v>185</v>
      </c>
      <c r="Y112" s="12"/>
      <c r="Z112" s="234"/>
    </row>
    <row r="113" spans="1:26" ht="16.5" hidden="1" thickBot="1">
      <c r="A113" s="174"/>
      <c r="B113" s="271">
        <v>0.15</v>
      </c>
      <c r="C113" s="264">
        <f t="shared" si="14"/>
        <v>280</v>
      </c>
      <c r="D113" s="145">
        <v>280</v>
      </c>
      <c r="E113" s="270">
        <v>180</v>
      </c>
      <c r="F113" s="169">
        <v>240</v>
      </c>
      <c r="G113" s="170">
        <v>193</v>
      </c>
      <c r="H113" s="171">
        <v>180</v>
      </c>
      <c r="I113" s="266">
        <v>0</v>
      </c>
      <c r="J113" s="267">
        <v>320</v>
      </c>
      <c r="K113" s="268">
        <v>220</v>
      </c>
      <c r="L113" s="168">
        <f t="shared" si="15"/>
        <v>320</v>
      </c>
      <c r="M113" s="168">
        <f t="shared" si="16"/>
        <v>280</v>
      </c>
      <c r="N113" s="168">
        <f t="shared" si="17"/>
        <v>280</v>
      </c>
      <c r="O113" s="168">
        <f t="shared" si="18"/>
        <v>280</v>
      </c>
      <c r="P113" s="168">
        <f t="shared" si="19"/>
        <v>280</v>
      </c>
      <c r="Q113" s="168">
        <f t="shared" si="20"/>
        <v>280</v>
      </c>
      <c r="Y113" s="12"/>
      <c r="Z113" s="234"/>
    </row>
    <row r="114" spans="1:26" ht="16.5" hidden="1" thickBot="1">
      <c r="A114" s="174"/>
      <c r="B114" s="271">
        <v>0.3</v>
      </c>
      <c r="C114" s="264">
        <f t="shared" si="14"/>
        <v>330</v>
      </c>
      <c r="D114" s="145">
        <v>330</v>
      </c>
      <c r="E114" s="270">
        <v>195</v>
      </c>
      <c r="F114" s="169">
        <v>240</v>
      </c>
      <c r="G114" s="170">
        <v>193</v>
      </c>
      <c r="H114" s="171">
        <v>180</v>
      </c>
      <c r="I114" s="266">
        <v>0</v>
      </c>
      <c r="J114" s="267">
        <v>485</v>
      </c>
      <c r="K114" s="268">
        <v>350</v>
      </c>
      <c r="L114" s="168">
        <f t="shared" si="15"/>
        <v>485</v>
      </c>
      <c r="M114" s="168">
        <f t="shared" si="16"/>
        <v>330</v>
      </c>
      <c r="N114" s="168">
        <f t="shared" si="17"/>
        <v>330</v>
      </c>
      <c r="O114" s="168">
        <f t="shared" si="18"/>
        <v>330</v>
      </c>
      <c r="P114" s="168">
        <f t="shared" si="19"/>
        <v>330</v>
      </c>
      <c r="Q114" s="168">
        <f t="shared" si="20"/>
        <v>330</v>
      </c>
      <c r="Y114" s="12"/>
      <c r="Z114" s="234"/>
    </row>
    <row r="115" spans="1:26" ht="16.5" hidden="1" thickBot="1">
      <c r="A115" s="174"/>
      <c r="B115" s="271">
        <v>0.4</v>
      </c>
      <c r="C115" s="264">
        <f t="shared" si="14"/>
        <v>360</v>
      </c>
      <c r="D115" s="145">
        <v>360</v>
      </c>
      <c r="E115" s="270">
        <v>210</v>
      </c>
      <c r="F115" s="169">
        <v>250</v>
      </c>
      <c r="G115" s="170">
        <v>200</v>
      </c>
      <c r="H115" s="171">
        <v>180</v>
      </c>
      <c r="I115" s="266">
        <v>140</v>
      </c>
      <c r="J115" s="267">
        <v>550</v>
      </c>
      <c r="K115" s="268">
        <v>400</v>
      </c>
      <c r="L115" s="168">
        <f t="shared" si="15"/>
        <v>550</v>
      </c>
      <c r="M115" s="168">
        <f t="shared" si="16"/>
        <v>360</v>
      </c>
      <c r="N115" s="168">
        <f t="shared" si="17"/>
        <v>360</v>
      </c>
      <c r="O115" s="168">
        <f t="shared" si="18"/>
        <v>360</v>
      </c>
      <c r="P115" s="168">
        <f t="shared" si="19"/>
        <v>360</v>
      </c>
      <c r="Q115" s="168">
        <f t="shared" si="20"/>
        <v>360</v>
      </c>
      <c r="Y115" s="12"/>
      <c r="Z115" s="234"/>
    </row>
    <row r="116" spans="1:26" ht="16.5" hidden="1" thickBot="1">
      <c r="A116" s="174"/>
      <c r="B116" s="271">
        <v>0.5</v>
      </c>
      <c r="C116" s="264">
        <f t="shared" si="14"/>
        <v>385</v>
      </c>
      <c r="D116" s="145">
        <v>385</v>
      </c>
      <c r="E116" s="270">
        <v>230</v>
      </c>
      <c r="F116" s="169">
        <v>250</v>
      </c>
      <c r="G116" s="148">
        <v>200</v>
      </c>
      <c r="H116" s="171">
        <v>180</v>
      </c>
      <c r="I116" s="266">
        <v>140</v>
      </c>
      <c r="J116" s="267">
        <v>590</v>
      </c>
      <c r="K116" s="268">
        <v>435</v>
      </c>
      <c r="L116" s="168">
        <f t="shared" si="15"/>
        <v>590</v>
      </c>
      <c r="M116" s="168">
        <f t="shared" si="16"/>
        <v>385</v>
      </c>
      <c r="N116" s="168">
        <f t="shared" si="17"/>
        <v>385</v>
      </c>
      <c r="O116" s="168">
        <f t="shared" si="18"/>
        <v>385</v>
      </c>
      <c r="P116" s="168">
        <f t="shared" si="19"/>
        <v>385</v>
      </c>
      <c r="Q116" s="168">
        <f t="shared" si="20"/>
        <v>385</v>
      </c>
      <c r="Y116" s="12"/>
      <c r="Z116" s="234"/>
    </row>
    <row r="117" spans="1:26" ht="16.5" hidden="1" thickBot="1">
      <c r="A117" s="174"/>
      <c r="B117" s="271">
        <v>0.6</v>
      </c>
      <c r="C117" s="264">
        <f t="shared" si="14"/>
        <v>445</v>
      </c>
      <c r="D117" s="145">
        <v>445</v>
      </c>
      <c r="E117" s="270">
        <v>260</v>
      </c>
      <c r="F117" s="169">
        <v>260</v>
      </c>
      <c r="G117" s="148">
        <v>203</v>
      </c>
      <c r="H117" s="171">
        <v>190</v>
      </c>
      <c r="I117" s="266">
        <v>160</v>
      </c>
      <c r="J117" s="267">
        <v>635</v>
      </c>
      <c r="K117" s="268">
        <v>450</v>
      </c>
      <c r="L117" s="168">
        <f t="shared" si="15"/>
        <v>635</v>
      </c>
      <c r="M117" s="168">
        <f t="shared" si="16"/>
        <v>445</v>
      </c>
      <c r="N117" s="168">
        <f t="shared" si="17"/>
        <v>445</v>
      </c>
      <c r="O117" s="168">
        <f t="shared" si="18"/>
        <v>445</v>
      </c>
      <c r="P117" s="168">
        <f t="shared" si="19"/>
        <v>445</v>
      </c>
      <c r="Q117" s="168">
        <f t="shared" si="20"/>
        <v>445</v>
      </c>
      <c r="Y117" s="12"/>
      <c r="Z117" s="234"/>
    </row>
    <row r="118" spans="1:26" ht="16.5" hidden="1" thickBot="1">
      <c r="A118" s="174"/>
      <c r="B118" s="271">
        <v>0.7</v>
      </c>
      <c r="C118" s="264">
        <f t="shared" si="14"/>
        <v>425</v>
      </c>
      <c r="D118" s="145">
        <v>425</v>
      </c>
      <c r="E118" s="270">
        <v>285</v>
      </c>
      <c r="F118" s="169">
        <v>365</v>
      </c>
      <c r="G118" s="148">
        <v>230</v>
      </c>
      <c r="H118" s="171">
        <v>190</v>
      </c>
      <c r="I118" s="266">
        <v>160</v>
      </c>
      <c r="J118" s="267">
        <v>605</v>
      </c>
      <c r="K118" s="268">
        <v>465</v>
      </c>
      <c r="L118" s="168">
        <f t="shared" si="15"/>
        <v>605</v>
      </c>
      <c r="M118" s="168">
        <f t="shared" si="16"/>
        <v>425</v>
      </c>
      <c r="N118" s="168">
        <f t="shared" si="17"/>
        <v>425</v>
      </c>
      <c r="O118" s="168">
        <f t="shared" si="18"/>
        <v>425</v>
      </c>
      <c r="P118" s="168">
        <f t="shared" si="19"/>
        <v>425</v>
      </c>
      <c r="Q118" s="168">
        <f t="shared" si="20"/>
        <v>425</v>
      </c>
      <c r="Y118" s="12"/>
      <c r="Z118" s="234"/>
    </row>
    <row r="119" spans="1:26" ht="16.5" hidden="1" thickBot="1">
      <c r="A119" s="174"/>
      <c r="B119" s="271">
        <v>0.8</v>
      </c>
      <c r="C119" s="264">
        <f t="shared" si="14"/>
        <v>510</v>
      </c>
      <c r="D119" s="145">
        <v>510</v>
      </c>
      <c r="E119" s="270">
        <v>345</v>
      </c>
      <c r="F119" s="147">
        <v>395</v>
      </c>
      <c r="G119" s="148">
        <v>340</v>
      </c>
      <c r="H119" s="172">
        <v>280</v>
      </c>
      <c r="I119" s="272">
        <v>180</v>
      </c>
      <c r="J119" s="267">
        <v>640</v>
      </c>
      <c r="K119" s="268">
        <v>475</v>
      </c>
      <c r="L119" s="168">
        <f t="shared" si="15"/>
        <v>640</v>
      </c>
      <c r="M119" s="168">
        <f t="shared" si="16"/>
        <v>510</v>
      </c>
      <c r="N119" s="168">
        <f t="shared" si="17"/>
        <v>510</v>
      </c>
      <c r="O119" s="168">
        <f t="shared" si="18"/>
        <v>510</v>
      </c>
      <c r="P119" s="168">
        <f t="shared" si="19"/>
        <v>510</v>
      </c>
      <c r="Q119" s="168">
        <f t="shared" si="20"/>
        <v>510</v>
      </c>
      <c r="Y119" s="12"/>
      <c r="Z119" s="234"/>
    </row>
    <row r="120" spans="1:26" ht="16.5" hidden="1" thickBot="1">
      <c r="A120" s="174"/>
      <c r="B120" s="271">
        <v>1</v>
      </c>
      <c r="C120" s="264">
        <f t="shared" si="14"/>
        <v>630</v>
      </c>
      <c r="D120" s="145">
        <v>630</v>
      </c>
      <c r="E120" s="270">
        <v>435</v>
      </c>
      <c r="F120" s="147">
        <v>410</v>
      </c>
      <c r="G120" s="148">
        <v>330</v>
      </c>
      <c r="H120" s="172">
        <v>310</v>
      </c>
      <c r="I120" s="272">
        <v>180</v>
      </c>
      <c r="J120" s="267">
        <v>685</v>
      </c>
      <c r="K120" s="268">
        <v>490</v>
      </c>
      <c r="L120" s="168">
        <f t="shared" si="15"/>
        <v>685</v>
      </c>
      <c r="M120" s="168">
        <f t="shared" si="16"/>
        <v>630</v>
      </c>
      <c r="N120" s="168">
        <f t="shared" si="17"/>
        <v>630</v>
      </c>
      <c r="O120" s="168">
        <f t="shared" si="18"/>
        <v>630</v>
      </c>
      <c r="P120" s="168">
        <f t="shared" si="19"/>
        <v>630</v>
      </c>
      <c r="Q120" s="168">
        <f t="shared" si="20"/>
        <v>630</v>
      </c>
      <c r="Y120" s="12"/>
      <c r="Z120" s="234"/>
    </row>
    <row r="121" spans="1:26" ht="16.5" hidden="1" thickBot="1">
      <c r="A121" s="174"/>
      <c r="B121" s="271">
        <v>1.1</v>
      </c>
      <c r="C121" s="264">
        <f t="shared" si="14"/>
        <v>705</v>
      </c>
      <c r="D121" s="145">
        <v>705</v>
      </c>
      <c r="E121" s="270">
        <v>495</v>
      </c>
      <c r="F121" s="147">
        <v>430</v>
      </c>
      <c r="G121" s="148">
        <v>330</v>
      </c>
      <c r="H121" s="172">
        <v>320</v>
      </c>
      <c r="I121" s="272">
        <v>190</v>
      </c>
      <c r="J121" s="267">
        <v>715</v>
      </c>
      <c r="K121" s="268">
        <v>505</v>
      </c>
      <c r="L121" s="168">
        <f t="shared" si="15"/>
        <v>715</v>
      </c>
      <c r="M121" s="168">
        <f t="shared" si="16"/>
        <v>705</v>
      </c>
      <c r="N121" s="168">
        <f t="shared" si="17"/>
        <v>705</v>
      </c>
      <c r="O121" s="168">
        <f t="shared" si="18"/>
        <v>705</v>
      </c>
      <c r="P121" s="168">
        <f t="shared" si="19"/>
        <v>705</v>
      </c>
      <c r="Q121" s="168">
        <f t="shared" si="20"/>
        <v>705</v>
      </c>
      <c r="Y121" s="12"/>
      <c r="Z121" s="234"/>
    </row>
    <row r="122" spans="1:26" ht="16.5" hidden="1" thickBot="1">
      <c r="A122" s="174"/>
      <c r="B122" s="273">
        <v>1.2</v>
      </c>
      <c r="C122" s="274">
        <f t="shared" si="14"/>
        <v>725</v>
      </c>
      <c r="D122" s="145">
        <v>725</v>
      </c>
      <c r="E122" s="270">
        <v>510</v>
      </c>
      <c r="F122" s="147">
        <v>480</v>
      </c>
      <c r="G122" s="148">
        <v>335</v>
      </c>
      <c r="H122" s="172">
        <v>330</v>
      </c>
      <c r="I122" s="272">
        <v>190</v>
      </c>
      <c r="J122" s="267">
        <v>725</v>
      </c>
      <c r="K122" s="268">
        <v>510</v>
      </c>
      <c r="L122" s="168">
        <f t="shared" si="15"/>
        <v>725</v>
      </c>
      <c r="M122" s="168">
        <f t="shared" si="16"/>
        <v>725</v>
      </c>
      <c r="N122" s="168">
        <f t="shared" si="17"/>
        <v>725</v>
      </c>
      <c r="O122" s="168">
        <f t="shared" si="18"/>
        <v>725</v>
      </c>
      <c r="P122" s="168">
        <f t="shared" si="19"/>
        <v>725</v>
      </c>
      <c r="Q122" s="168">
        <f t="shared" si="20"/>
        <v>725</v>
      </c>
      <c r="Y122" s="12"/>
      <c r="Z122" s="234"/>
    </row>
    <row r="123" spans="1:26" ht="15.75" hidden="1">
      <c r="A123" s="174"/>
      <c r="N123" s="76"/>
      <c r="O123" s="76"/>
      <c r="Y123" s="12"/>
      <c r="Z123" s="234"/>
    </row>
    <row r="124" spans="1:26" ht="24" hidden="1" thickBot="1">
      <c r="A124" s="174"/>
      <c r="E124" s="413" t="s">
        <v>477</v>
      </c>
      <c r="N124" s="76"/>
      <c r="O124" s="76"/>
      <c r="Y124" s="12"/>
      <c r="Z124" s="234"/>
    </row>
    <row r="125" spans="1:26" ht="17.25" hidden="1" thickBot="1" thickTop="1">
      <c r="A125" s="174"/>
      <c r="C125" s="262" t="s">
        <v>435</v>
      </c>
      <c r="D125" s="11" t="s">
        <v>439</v>
      </c>
      <c r="E125" s="11" t="s">
        <v>440</v>
      </c>
      <c r="F125" s="144" t="s">
        <v>441</v>
      </c>
      <c r="G125" s="144" t="s">
        <v>442</v>
      </c>
      <c r="H125" s="144" t="s">
        <v>443</v>
      </c>
      <c r="I125" s="144" t="s">
        <v>444</v>
      </c>
      <c r="J125" s="144" t="s">
        <v>445</v>
      </c>
      <c r="K125" s="144" t="s">
        <v>446</v>
      </c>
      <c r="L125" s="164" t="s">
        <v>447</v>
      </c>
      <c r="M125" s="164">
        <v>1</v>
      </c>
      <c r="N125" s="164">
        <v>2</v>
      </c>
      <c r="O125" s="164">
        <v>3</v>
      </c>
      <c r="P125" s="164">
        <v>4</v>
      </c>
      <c r="Q125" s="164">
        <v>5</v>
      </c>
      <c r="Y125" s="12"/>
      <c r="Z125" s="234"/>
    </row>
    <row r="126" spans="1:26" ht="16.5" hidden="1" thickBot="1">
      <c r="A126" s="174"/>
      <c r="B126" s="263">
        <v>0</v>
      </c>
      <c r="C126" s="264">
        <f aca="true" t="shared" si="21" ref="C126:C137">IF(puntosproljor&lt;620,Q126,L126)</f>
        <v>180</v>
      </c>
      <c r="D126" s="145">
        <v>180</v>
      </c>
      <c r="E126" s="265">
        <v>80</v>
      </c>
      <c r="F126" s="165">
        <v>0</v>
      </c>
      <c r="G126" s="166">
        <v>0</v>
      </c>
      <c r="H126" s="167">
        <v>0</v>
      </c>
      <c r="I126" s="266">
        <v>0</v>
      </c>
      <c r="J126" s="267">
        <v>180</v>
      </c>
      <c r="K126" s="268">
        <v>80</v>
      </c>
      <c r="L126" s="168">
        <f aca="true" t="shared" si="22" ref="L126:L137">IF(PUNTOSbasicos&gt;971,K126,J126)</f>
        <v>180</v>
      </c>
      <c r="M126" s="168">
        <f aca="true" t="shared" si="23" ref="M126:M137">IF(PUNTOSbasicos&lt;972,D126,E126)</f>
        <v>180</v>
      </c>
      <c r="N126" s="168">
        <f aca="true" t="shared" si="24" ref="N126:N137">IF(PUNTOSbasicos&lt;1170,M126,F126)</f>
        <v>180</v>
      </c>
      <c r="O126" s="168">
        <f aca="true" t="shared" si="25" ref="O126:O137">IF(PUNTOSbasicos&lt;1401,N126,G126)</f>
        <v>180</v>
      </c>
      <c r="P126" s="168">
        <f aca="true" t="shared" si="26" ref="P126:P137">IF(PUNTOSbasicos&lt;1943,O126,H126)</f>
        <v>180</v>
      </c>
      <c r="Q126" s="168">
        <f aca="true" t="shared" si="27" ref="Q126:Q137">IF(PUNTOSbasicos&lt;=2220,P126,I126)</f>
        <v>180</v>
      </c>
      <c r="Y126" s="12"/>
      <c r="Z126" s="234"/>
    </row>
    <row r="127" spans="1:26" ht="16.5" hidden="1" thickBot="1">
      <c r="A127" s="174"/>
      <c r="B127" s="269">
        <v>0.1</v>
      </c>
      <c r="C127" s="264">
        <f t="shared" si="21"/>
        <v>195</v>
      </c>
      <c r="D127" s="145">
        <v>195</v>
      </c>
      <c r="E127" s="270">
        <v>90</v>
      </c>
      <c r="F127" s="165">
        <v>0</v>
      </c>
      <c r="G127" s="166">
        <v>0</v>
      </c>
      <c r="H127" s="167">
        <v>0</v>
      </c>
      <c r="I127" s="266">
        <v>0</v>
      </c>
      <c r="J127" s="267">
        <v>195</v>
      </c>
      <c r="K127" s="268">
        <v>90</v>
      </c>
      <c r="L127" s="168">
        <f t="shared" si="22"/>
        <v>195</v>
      </c>
      <c r="M127" s="168">
        <f t="shared" si="23"/>
        <v>195</v>
      </c>
      <c r="N127" s="168">
        <f t="shared" si="24"/>
        <v>195</v>
      </c>
      <c r="O127" s="168">
        <f t="shared" si="25"/>
        <v>195</v>
      </c>
      <c r="P127" s="168">
        <f t="shared" si="26"/>
        <v>195</v>
      </c>
      <c r="Q127" s="168">
        <f t="shared" si="27"/>
        <v>195</v>
      </c>
      <c r="Y127" s="12"/>
      <c r="Z127" s="234"/>
    </row>
    <row r="128" spans="1:26" ht="16.5" hidden="1" thickBot="1">
      <c r="A128" s="174"/>
      <c r="B128" s="271">
        <v>0.15</v>
      </c>
      <c r="C128" s="264">
        <f t="shared" si="21"/>
        <v>290</v>
      </c>
      <c r="D128" s="145">
        <v>290</v>
      </c>
      <c r="E128" s="270">
        <v>180</v>
      </c>
      <c r="F128" s="169">
        <v>240</v>
      </c>
      <c r="G128" s="170">
        <v>193</v>
      </c>
      <c r="H128" s="171">
        <v>180</v>
      </c>
      <c r="I128" s="266">
        <v>0</v>
      </c>
      <c r="J128" s="267">
        <v>330</v>
      </c>
      <c r="K128" s="268">
        <v>220</v>
      </c>
      <c r="L128" s="168">
        <f t="shared" si="22"/>
        <v>330</v>
      </c>
      <c r="M128" s="168">
        <f t="shared" si="23"/>
        <v>290</v>
      </c>
      <c r="N128" s="168">
        <f t="shared" si="24"/>
        <v>290</v>
      </c>
      <c r="O128" s="168">
        <f t="shared" si="25"/>
        <v>290</v>
      </c>
      <c r="P128" s="168">
        <f t="shared" si="26"/>
        <v>290</v>
      </c>
      <c r="Q128" s="168">
        <f t="shared" si="27"/>
        <v>290</v>
      </c>
      <c r="Y128" s="12"/>
      <c r="Z128" s="234"/>
    </row>
    <row r="129" spans="1:26" ht="16.5" hidden="1" thickBot="1">
      <c r="A129" s="174"/>
      <c r="B129" s="271">
        <v>0.3</v>
      </c>
      <c r="C129" s="264">
        <f t="shared" si="21"/>
        <v>340</v>
      </c>
      <c r="D129" s="145">
        <v>340</v>
      </c>
      <c r="E129" s="270">
        <v>195</v>
      </c>
      <c r="F129" s="169">
        <v>240</v>
      </c>
      <c r="G129" s="170">
        <v>193</v>
      </c>
      <c r="H129" s="171">
        <v>180</v>
      </c>
      <c r="I129" s="266">
        <v>0</v>
      </c>
      <c r="J129" s="267">
        <v>495</v>
      </c>
      <c r="K129" s="268">
        <v>350</v>
      </c>
      <c r="L129" s="168">
        <f t="shared" si="22"/>
        <v>495</v>
      </c>
      <c r="M129" s="168">
        <f t="shared" si="23"/>
        <v>340</v>
      </c>
      <c r="N129" s="168">
        <f t="shared" si="24"/>
        <v>340</v>
      </c>
      <c r="O129" s="168">
        <f t="shared" si="25"/>
        <v>340</v>
      </c>
      <c r="P129" s="168">
        <f t="shared" si="26"/>
        <v>340</v>
      </c>
      <c r="Q129" s="168">
        <f t="shared" si="27"/>
        <v>340</v>
      </c>
      <c r="Y129" s="12"/>
      <c r="Z129" s="234"/>
    </row>
    <row r="130" spans="1:26" ht="16.5" hidden="1" thickBot="1">
      <c r="A130" s="174"/>
      <c r="B130" s="271">
        <v>0.4</v>
      </c>
      <c r="C130" s="264">
        <f t="shared" si="21"/>
        <v>370</v>
      </c>
      <c r="D130" s="145">
        <v>370</v>
      </c>
      <c r="E130" s="270">
        <v>210</v>
      </c>
      <c r="F130" s="169">
        <v>250</v>
      </c>
      <c r="G130" s="170">
        <v>200</v>
      </c>
      <c r="H130" s="171">
        <v>180</v>
      </c>
      <c r="I130" s="266">
        <v>140</v>
      </c>
      <c r="J130" s="267">
        <v>560</v>
      </c>
      <c r="K130" s="268">
        <v>400</v>
      </c>
      <c r="L130" s="168">
        <f t="shared" si="22"/>
        <v>560</v>
      </c>
      <c r="M130" s="168">
        <f t="shared" si="23"/>
        <v>370</v>
      </c>
      <c r="N130" s="168">
        <f t="shared" si="24"/>
        <v>370</v>
      </c>
      <c r="O130" s="168">
        <f t="shared" si="25"/>
        <v>370</v>
      </c>
      <c r="P130" s="168">
        <f t="shared" si="26"/>
        <v>370</v>
      </c>
      <c r="Q130" s="168">
        <f t="shared" si="27"/>
        <v>370</v>
      </c>
      <c r="Y130" s="12"/>
      <c r="Z130" s="234"/>
    </row>
    <row r="131" spans="1:26" ht="16.5" hidden="1" thickBot="1">
      <c r="A131" s="174"/>
      <c r="B131" s="271">
        <v>0.5</v>
      </c>
      <c r="C131" s="264">
        <f t="shared" si="21"/>
        <v>395</v>
      </c>
      <c r="D131" s="145">
        <v>395</v>
      </c>
      <c r="E131" s="270">
        <v>230</v>
      </c>
      <c r="F131" s="169">
        <v>250</v>
      </c>
      <c r="G131" s="148">
        <v>200</v>
      </c>
      <c r="H131" s="171">
        <v>180</v>
      </c>
      <c r="I131" s="266">
        <v>140</v>
      </c>
      <c r="J131" s="267">
        <v>600</v>
      </c>
      <c r="K131" s="268">
        <v>435</v>
      </c>
      <c r="L131" s="168">
        <f t="shared" si="22"/>
        <v>600</v>
      </c>
      <c r="M131" s="168">
        <f t="shared" si="23"/>
        <v>395</v>
      </c>
      <c r="N131" s="168">
        <f t="shared" si="24"/>
        <v>395</v>
      </c>
      <c r="O131" s="168">
        <f t="shared" si="25"/>
        <v>395</v>
      </c>
      <c r="P131" s="168">
        <f t="shared" si="26"/>
        <v>395</v>
      </c>
      <c r="Q131" s="168">
        <f t="shared" si="27"/>
        <v>395</v>
      </c>
      <c r="Y131" s="12"/>
      <c r="Z131" s="234"/>
    </row>
    <row r="132" spans="1:26" ht="16.5" hidden="1" thickBot="1">
      <c r="A132" s="174"/>
      <c r="B132" s="271">
        <v>0.6</v>
      </c>
      <c r="C132" s="264">
        <f t="shared" si="21"/>
        <v>455</v>
      </c>
      <c r="D132" s="145">
        <v>455</v>
      </c>
      <c r="E132" s="270">
        <v>260</v>
      </c>
      <c r="F132" s="169">
        <v>260</v>
      </c>
      <c r="G132" s="148">
        <v>203</v>
      </c>
      <c r="H132" s="171">
        <v>190</v>
      </c>
      <c r="I132" s="266">
        <v>160</v>
      </c>
      <c r="J132" s="267">
        <v>645</v>
      </c>
      <c r="K132" s="268">
        <v>450</v>
      </c>
      <c r="L132" s="168">
        <f t="shared" si="22"/>
        <v>645</v>
      </c>
      <c r="M132" s="168">
        <f t="shared" si="23"/>
        <v>455</v>
      </c>
      <c r="N132" s="168">
        <f t="shared" si="24"/>
        <v>455</v>
      </c>
      <c r="O132" s="168">
        <f t="shared" si="25"/>
        <v>455</v>
      </c>
      <c r="P132" s="168">
        <f t="shared" si="26"/>
        <v>455</v>
      </c>
      <c r="Q132" s="168">
        <f t="shared" si="27"/>
        <v>455</v>
      </c>
      <c r="Y132" s="12"/>
      <c r="Z132" s="234"/>
    </row>
    <row r="133" spans="1:26" ht="16.5" hidden="1" thickBot="1">
      <c r="A133" s="174"/>
      <c r="B133" s="271">
        <v>0.7</v>
      </c>
      <c r="C133" s="264">
        <f t="shared" si="21"/>
        <v>430</v>
      </c>
      <c r="D133" s="145">
        <v>430</v>
      </c>
      <c r="E133" s="270">
        <v>285</v>
      </c>
      <c r="F133" s="169">
        <v>365</v>
      </c>
      <c r="G133" s="148">
        <v>230</v>
      </c>
      <c r="H133" s="171">
        <v>190</v>
      </c>
      <c r="I133" s="266">
        <v>160</v>
      </c>
      <c r="J133" s="267">
        <v>610</v>
      </c>
      <c r="K133" s="268">
        <v>465</v>
      </c>
      <c r="L133" s="168">
        <f t="shared" si="22"/>
        <v>610</v>
      </c>
      <c r="M133" s="168">
        <f t="shared" si="23"/>
        <v>430</v>
      </c>
      <c r="N133" s="168">
        <f t="shared" si="24"/>
        <v>430</v>
      </c>
      <c r="O133" s="168">
        <f t="shared" si="25"/>
        <v>430</v>
      </c>
      <c r="P133" s="168">
        <f t="shared" si="26"/>
        <v>430</v>
      </c>
      <c r="Q133" s="168">
        <f t="shared" si="27"/>
        <v>430</v>
      </c>
      <c r="Y133" s="12"/>
      <c r="Z133" s="234"/>
    </row>
    <row r="134" spans="1:26" ht="16.5" hidden="1" thickBot="1">
      <c r="A134" s="174"/>
      <c r="B134" s="271">
        <v>0.8</v>
      </c>
      <c r="C134" s="264">
        <f t="shared" si="21"/>
        <v>515</v>
      </c>
      <c r="D134" s="145">
        <v>515</v>
      </c>
      <c r="E134" s="270">
        <v>345</v>
      </c>
      <c r="F134" s="147">
        <v>395</v>
      </c>
      <c r="G134" s="148">
        <v>340</v>
      </c>
      <c r="H134" s="172">
        <v>280</v>
      </c>
      <c r="I134" s="272">
        <v>180</v>
      </c>
      <c r="J134" s="267">
        <v>645</v>
      </c>
      <c r="K134" s="268">
        <v>475</v>
      </c>
      <c r="L134" s="168">
        <f t="shared" si="22"/>
        <v>645</v>
      </c>
      <c r="M134" s="168">
        <f t="shared" si="23"/>
        <v>515</v>
      </c>
      <c r="N134" s="168">
        <f t="shared" si="24"/>
        <v>515</v>
      </c>
      <c r="O134" s="168">
        <f t="shared" si="25"/>
        <v>515</v>
      </c>
      <c r="P134" s="168">
        <f t="shared" si="26"/>
        <v>515</v>
      </c>
      <c r="Q134" s="168">
        <f t="shared" si="27"/>
        <v>515</v>
      </c>
      <c r="Y134" s="12"/>
      <c r="Z134" s="234"/>
    </row>
    <row r="135" spans="1:26" ht="16.5" hidden="1" thickBot="1">
      <c r="A135" s="174"/>
      <c r="B135" s="271">
        <v>1</v>
      </c>
      <c r="C135" s="264">
        <f t="shared" si="21"/>
        <v>635</v>
      </c>
      <c r="D135" s="145">
        <v>635</v>
      </c>
      <c r="E135" s="270">
        <v>435</v>
      </c>
      <c r="F135" s="147">
        <v>410</v>
      </c>
      <c r="G135" s="148">
        <v>330</v>
      </c>
      <c r="H135" s="172">
        <v>310</v>
      </c>
      <c r="I135" s="272">
        <v>180</v>
      </c>
      <c r="J135" s="267">
        <v>690</v>
      </c>
      <c r="K135" s="268">
        <v>490</v>
      </c>
      <c r="L135" s="168">
        <f t="shared" si="22"/>
        <v>690</v>
      </c>
      <c r="M135" s="168">
        <f t="shared" si="23"/>
        <v>635</v>
      </c>
      <c r="N135" s="168">
        <f t="shared" si="24"/>
        <v>635</v>
      </c>
      <c r="O135" s="168">
        <f t="shared" si="25"/>
        <v>635</v>
      </c>
      <c r="P135" s="168">
        <f t="shared" si="26"/>
        <v>635</v>
      </c>
      <c r="Q135" s="168">
        <f t="shared" si="27"/>
        <v>635</v>
      </c>
      <c r="Y135" s="12"/>
      <c r="Z135" s="234"/>
    </row>
    <row r="136" spans="1:26" ht="16.5" hidden="1" thickBot="1">
      <c r="A136" s="174"/>
      <c r="B136" s="271">
        <v>1.1</v>
      </c>
      <c r="C136" s="264">
        <f t="shared" si="21"/>
        <v>710</v>
      </c>
      <c r="D136" s="145">
        <v>710</v>
      </c>
      <c r="E136" s="270">
        <v>495</v>
      </c>
      <c r="F136" s="147">
        <v>430</v>
      </c>
      <c r="G136" s="148">
        <v>330</v>
      </c>
      <c r="H136" s="172">
        <v>320</v>
      </c>
      <c r="I136" s="272">
        <v>190</v>
      </c>
      <c r="J136" s="267">
        <v>720</v>
      </c>
      <c r="K136" s="268">
        <v>505</v>
      </c>
      <c r="L136" s="168">
        <f t="shared" si="22"/>
        <v>720</v>
      </c>
      <c r="M136" s="168">
        <f t="shared" si="23"/>
        <v>710</v>
      </c>
      <c r="N136" s="168">
        <f t="shared" si="24"/>
        <v>710</v>
      </c>
      <c r="O136" s="168">
        <f t="shared" si="25"/>
        <v>710</v>
      </c>
      <c r="P136" s="168">
        <f t="shared" si="26"/>
        <v>710</v>
      </c>
      <c r="Q136" s="168">
        <f t="shared" si="27"/>
        <v>710</v>
      </c>
      <c r="Y136" s="12"/>
      <c r="Z136" s="234"/>
    </row>
    <row r="137" spans="1:26" ht="16.5" hidden="1" thickBot="1">
      <c r="A137" s="174"/>
      <c r="B137" s="273">
        <v>1.2</v>
      </c>
      <c r="C137" s="274">
        <f t="shared" si="21"/>
        <v>730</v>
      </c>
      <c r="D137" s="145">
        <v>730</v>
      </c>
      <c r="E137" s="270">
        <v>510</v>
      </c>
      <c r="F137" s="147">
        <v>480</v>
      </c>
      <c r="G137" s="148">
        <v>335</v>
      </c>
      <c r="H137" s="172">
        <v>330</v>
      </c>
      <c r="I137" s="272">
        <v>190</v>
      </c>
      <c r="J137" s="267">
        <v>730</v>
      </c>
      <c r="K137" s="268">
        <v>510</v>
      </c>
      <c r="L137" s="168">
        <f t="shared" si="22"/>
        <v>730</v>
      </c>
      <c r="M137" s="168">
        <f t="shared" si="23"/>
        <v>730</v>
      </c>
      <c r="N137" s="168">
        <f t="shared" si="24"/>
        <v>730</v>
      </c>
      <c r="O137" s="168">
        <f t="shared" si="25"/>
        <v>730</v>
      </c>
      <c r="P137" s="168">
        <f t="shared" si="26"/>
        <v>730</v>
      </c>
      <c r="Q137" s="168">
        <f t="shared" si="27"/>
        <v>730</v>
      </c>
      <c r="Y137" s="12"/>
      <c r="Z137" s="234"/>
    </row>
    <row r="138" spans="1:26" ht="15.75" hidden="1">
      <c r="A138" s="174"/>
      <c r="B138" s="175"/>
      <c r="C138" s="176"/>
      <c r="D138" s="176"/>
      <c r="E138" s="176"/>
      <c r="F138" s="176"/>
      <c r="G138" s="175"/>
      <c r="H138" s="176"/>
      <c r="I138" s="2"/>
      <c r="J138" s="2"/>
      <c r="K138" s="2"/>
      <c r="Y138" s="12"/>
      <c r="Z138" s="234"/>
    </row>
    <row r="139" spans="1:26" ht="15.75" hidden="1">
      <c r="A139" s="174"/>
      <c r="B139" s="175"/>
      <c r="C139" s="176"/>
      <c r="D139" s="176"/>
      <c r="E139" s="176"/>
      <c r="F139" s="176"/>
      <c r="G139" s="175"/>
      <c r="H139" s="176"/>
      <c r="I139" s="2"/>
      <c r="J139" s="2"/>
      <c r="K139" s="2"/>
      <c r="Y139" s="12"/>
      <c r="Z139" s="234"/>
    </row>
    <row r="140" spans="1:26" ht="15.75" hidden="1">
      <c r="A140" s="174"/>
      <c r="B140" s="175"/>
      <c r="C140" s="176"/>
      <c r="D140" s="176"/>
      <c r="E140" s="176"/>
      <c r="F140" s="176"/>
      <c r="G140" s="175"/>
      <c r="H140" s="176"/>
      <c r="I140" s="2"/>
      <c r="J140" s="2"/>
      <c r="K140" s="2"/>
      <c r="Y140" s="12"/>
      <c r="Z140" s="234"/>
    </row>
    <row r="141" spans="1:26" ht="16.5" thickBot="1">
      <c r="A141" s="450"/>
      <c r="B141" s="77"/>
      <c r="C141" s="12"/>
      <c r="D141" s="12"/>
      <c r="E141" s="12"/>
      <c r="F141" s="12"/>
      <c r="G141" s="77"/>
      <c r="H141" s="12"/>
      <c r="I141" s="2"/>
      <c r="J141" s="2"/>
      <c r="K141" s="2"/>
      <c r="Y141" s="12"/>
      <c r="Z141" s="234"/>
    </row>
    <row r="142" spans="1:26" ht="16.5" thickTop="1">
      <c r="A142" s="76"/>
      <c r="B142" s="434" t="s">
        <v>11</v>
      </c>
      <c r="C142" s="435"/>
      <c r="D142" s="444"/>
      <c r="E142" s="12"/>
      <c r="F142" s="12"/>
      <c r="G142" s="77"/>
      <c r="H142" s="12"/>
      <c r="I142" s="2"/>
      <c r="J142" s="2"/>
      <c r="K142" s="2"/>
      <c r="Y142" s="12"/>
      <c r="Z142" s="234"/>
    </row>
    <row r="143" spans="1:26" ht="15.75">
      <c r="A143" s="76"/>
      <c r="B143" s="436" t="s">
        <v>495</v>
      </c>
      <c r="C143" s="437"/>
      <c r="D143" s="445"/>
      <c r="E143" s="12"/>
      <c r="F143" s="12"/>
      <c r="G143" s="77"/>
      <c r="H143" s="12"/>
      <c r="I143" s="2"/>
      <c r="J143" s="2"/>
      <c r="K143" s="2"/>
      <c r="Y143" s="12"/>
      <c r="Z143" s="234"/>
    </row>
    <row r="144" spans="1:26" ht="15.75">
      <c r="A144" s="76"/>
      <c r="B144" s="436" t="s">
        <v>13</v>
      </c>
      <c r="C144" s="437"/>
      <c r="D144" s="445"/>
      <c r="E144" s="12"/>
      <c r="F144" s="12"/>
      <c r="G144" s="77"/>
      <c r="H144" s="12"/>
      <c r="I144" s="2"/>
      <c r="J144" s="2"/>
      <c r="K144" s="2"/>
      <c r="Y144" s="12"/>
      <c r="Z144" s="234"/>
    </row>
    <row r="145" spans="1:26" ht="15.75">
      <c r="A145" s="76"/>
      <c r="B145" s="436" t="s">
        <v>379</v>
      </c>
      <c r="C145" s="437"/>
      <c r="D145" s="445"/>
      <c r="E145" s="12"/>
      <c r="F145" s="12"/>
      <c r="G145" s="77"/>
      <c r="H145" s="12"/>
      <c r="I145" s="2"/>
      <c r="J145" s="2"/>
      <c r="K145" s="2"/>
      <c r="Y145" s="12"/>
      <c r="Z145" s="234"/>
    </row>
    <row r="146" spans="1:26" ht="15.75">
      <c r="A146" s="76"/>
      <c r="B146" s="438" t="s">
        <v>409</v>
      </c>
      <c r="C146" s="437"/>
      <c r="D146" s="445"/>
      <c r="E146" s="12"/>
      <c r="F146" s="12"/>
      <c r="G146" s="77"/>
      <c r="H146" s="12"/>
      <c r="I146" s="2"/>
      <c r="J146" s="2"/>
      <c r="K146" s="2"/>
      <c r="Y146" s="12"/>
      <c r="Z146" s="234"/>
    </row>
    <row r="147" spans="1:26" ht="15.75">
      <c r="A147" s="76"/>
      <c r="B147" s="439" t="s">
        <v>380</v>
      </c>
      <c r="C147" s="437"/>
      <c r="D147" s="445"/>
      <c r="E147" s="12"/>
      <c r="F147" s="12"/>
      <c r="G147" s="77"/>
      <c r="H147" s="12"/>
      <c r="I147" s="2"/>
      <c r="J147" s="2"/>
      <c r="K147" s="2"/>
      <c r="Y147" s="12"/>
      <c r="Z147" s="234"/>
    </row>
    <row r="148" spans="1:26" ht="15.75">
      <c r="A148" s="76"/>
      <c r="B148" s="440" t="s">
        <v>496</v>
      </c>
      <c r="C148" s="441"/>
      <c r="D148" s="446"/>
      <c r="E148" s="12"/>
      <c r="F148" s="12"/>
      <c r="G148" s="77"/>
      <c r="H148" s="12"/>
      <c r="I148" s="2"/>
      <c r="J148" s="2"/>
      <c r="K148" s="2"/>
      <c r="Y148" s="12"/>
      <c r="Z148" s="234"/>
    </row>
    <row r="149" spans="1:26" ht="16.5" thickBot="1">
      <c r="A149" s="76"/>
      <c r="B149" s="442" t="s">
        <v>407</v>
      </c>
      <c r="C149" s="443"/>
      <c r="D149" s="447"/>
      <c r="E149" s="12"/>
      <c r="F149" s="12"/>
      <c r="G149" s="77"/>
      <c r="H149" s="12"/>
      <c r="I149" s="2"/>
      <c r="J149" s="2"/>
      <c r="K149" s="2"/>
      <c r="Y149" s="12"/>
      <c r="Z149" s="234"/>
    </row>
    <row r="150" spans="1:26" ht="16.5" thickTop="1">
      <c r="A150" s="450"/>
      <c r="B150" s="472"/>
      <c r="C150" s="473"/>
      <c r="D150" s="473"/>
      <c r="E150" s="473"/>
      <c r="F150" s="473"/>
      <c r="G150" s="77"/>
      <c r="H150" s="12"/>
      <c r="I150" s="2"/>
      <c r="J150" s="2"/>
      <c r="K150" s="2"/>
      <c r="Y150" s="12"/>
      <c r="Z150" s="234"/>
    </row>
    <row r="151" spans="1:26" ht="20.25">
      <c r="A151" s="12"/>
      <c r="B151" s="207"/>
      <c r="C151" s="462" t="s">
        <v>365</v>
      </c>
      <c r="D151" s="207"/>
      <c r="E151" s="207"/>
      <c r="F151" s="207"/>
      <c r="G151" s="76"/>
      <c r="H151" s="76"/>
      <c r="I151" s="2"/>
      <c r="J151" s="2"/>
      <c r="K151" s="2"/>
      <c r="Y151" s="12"/>
      <c r="Z151" s="234"/>
    </row>
    <row r="152" spans="1:26" ht="15.75">
      <c r="A152" s="12"/>
      <c r="B152" s="12"/>
      <c r="C152" s="12"/>
      <c r="D152" s="12"/>
      <c r="E152" s="12"/>
      <c r="F152" s="12"/>
      <c r="G152" s="77"/>
      <c r="H152" s="12"/>
      <c r="I152" s="2"/>
      <c r="J152" s="2"/>
      <c r="K152" s="2"/>
      <c r="Y152" s="12"/>
      <c r="Z152" s="234"/>
    </row>
    <row r="153" spans="1:26" ht="15.75">
      <c r="A153" s="105" t="s">
        <v>52</v>
      </c>
      <c r="B153" s="45" t="s">
        <v>356</v>
      </c>
      <c r="C153" s="45" t="s">
        <v>357</v>
      </c>
      <c r="D153" s="45" t="s">
        <v>358</v>
      </c>
      <c r="E153" s="45" t="s">
        <v>359</v>
      </c>
      <c r="F153" s="105" t="s">
        <v>452</v>
      </c>
      <c r="G153" s="77"/>
      <c r="H153" s="12"/>
      <c r="I153" s="2"/>
      <c r="J153" s="2"/>
      <c r="K153" s="2"/>
      <c r="Y153" s="12"/>
      <c r="Z153" s="234"/>
    </row>
    <row r="154" spans="1:26" ht="16.5" thickBot="1">
      <c r="A154" s="451">
        <v>920</v>
      </c>
      <c r="B154" s="85">
        <f>LOOKUP(A154,Cargos!A3:A314,Cargos!C3:C314)</f>
        <v>971</v>
      </c>
      <c r="C154" s="85">
        <f>LOOKUP(A154,Cargos!A3:A314,Cargos!E3:E314)</f>
        <v>150</v>
      </c>
      <c r="D154" s="85">
        <f>LOOKUP(A154,Cargos!A3:A314,Cargos!F3:F314)</f>
        <v>0</v>
      </c>
      <c r="E154" s="85">
        <f>LOOKUP(A154,Cargos!A3:A314,Cargos!G3:G314)</f>
        <v>0</v>
      </c>
      <c r="F154" s="45">
        <f>LOOKUP(A154,Cargos!A3:A314,puntoscompbasico)</f>
        <v>170</v>
      </c>
      <c r="G154" s="77"/>
      <c r="H154" s="12"/>
      <c r="I154" s="2"/>
      <c r="J154" s="2"/>
      <c r="K154" s="2"/>
      <c r="Y154" s="12"/>
      <c r="Z154" s="234"/>
    </row>
    <row r="155" spans="1:26" ht="16.5" thickBot="1">
      <c r="A155" s="452" t="s">
        <v>53</v>
      </c>
      <c r="B155" s="87" t="str">
        <f>LOOKUP(A154,Cargos!A3:A314,Cargos!B3:B314)</f>
        <v> MAESTRO DE GRUPO ESC. DIFERENCIADA</v>
      </c>
      <c r="C155" s="43"/>
      <c r="D155" s="43"/>
      <c r="E155" s="64"/>
      <c r="F155" s="12"/>
      <c r="G155" s="77"/>
      <c r="H155" s="12"/>
      <c r="I155" s="2"/>
      <c r="J155" s="2"/>
      <c r="K155" s="2"/>
      <c r="Y155" s="12"/>
      <c r="Z155" s="234"/>
    </row>
    <row r="156" spans="1:26" ht="16.5" thickBot="1">
      <c r="A156" s="450"/>
      <c r="B156" s="77"/>
      <c r="C156" s="12"/>
      <c r="D156" s="12"/>
      <c r="E156" s="12"/>
      <c r="F156" s="139" t="s">
        <v>384</v>
      </c>
      <c r="G156" s="77"/>
      <c r="H156" s="12"/>
      <c r="I156" s="2"/>
      <c r="J156" s="2"/>
      <c r="K156" s="2"/>
      <c r="Y156" s="12"/>
      <c r="Z156" s="234"/>
    </row>
    <row r="157" spans="1:26" ht="17.25" thickBot="1" thickTop="1">
      <c r="A157" s="450"/>
      <c r="B157" s="128" t="s">
        <v>373</v>
      </c>
      <c r="C157" s="129"/>
      <c r="D157" s="129"/>
      <c r="E157" s="138">
        <v>120</v>
      </c>
      <c r="F157" s="140">
        <f>E157/120</f>
        <v>1</v>
      </c>
      <c r="G157" s="77"/>
      <c r="H157" s="12"/>
      <c r="I157" s="2"/>
      <c r="J157" s="2"/>
      <c r="K157" s="2"/>
      <c r="Y157" s="12"/>
      <c r="Z157" s="234"/>
    </row>
    <row r="158" spans="1:26" ht="17.25" thickBot="1" thickTop="1">
      <c r="A158" s="450"/>
      <c r="B158" s="77"/>
      <c r="C158" s="12"/>
      <c r="D158" s="12"/>
      <c r="E158" s="471"/>
      <c r="F158" s="12"/>
      <c r="G158" s="77"/>
      <c r="H158" s="12"/>
      <c r="I158" s="2"/>
      <c r="J158" s="2"/>
      <c r="K158" s="2"/>
      <c r="Y158" s="12"/>
      <c r="Z158" s="234"/>
    </row>
    <row r="159" spans="1:26" ht="17.25" thickBot="1" thickTop="1">
      <c r="A159" s="450"/>
      <c r="B159" s="127" t="s">
        <v>386</v>
      </c>
      <c r="C159" s="143">
        <v>0</v>
      </c>
      <c r="D159" s="12"/>
      <c r="E159" s="471"/>
      <c r="F159" s="12"/>
      <c r="G159" s="77"/>
      <c r="H159" s="12"/>
      <c r="I159" s="2"/>
      <c r="J159" s="2"/>
      <c r="K159" s="2"/>
      <c r="Y159" s="12"/>
      <c r="Z159" s="234"/>
    </row>
    <row r="160" spans="1:32" ht="16.5" thickTop="1">
      <c r="A160" s="450"/>
      <c r="B160" s="77"/>
      <c r="C160" s="12"/>
      <c r="D160" s="12"/>
      <c r="E160" s="12"/>
      <c r="F160" s="12"/>
      <c r="G160" s="77"/>
      <c r="H160" s="12"/>
      <c r="I160" s="12"/>
      <c r="J160" s="12"/>
      <c r="K160" s="12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12"/>
      <c r="Z160" s="234"/>
      <c r="AA160" s="76"/>
      <c r="AB160" s="76"/>
      <c r="AC160" s="76"/>
      <c r="AD160" s="76"/>
      <c r="AE160" s="76"/>
      <c r="AF160" s="76"/>
    </row>
    <row r="161" spans="1:32" ht="11.25" customHeight="1" thickBot="1">
      <c r="A161" s="450"/>
      <c r="B161" s="77"/>
      <c r="C161" s="12"/>
      <c r="D161" s="12"/>
      <c r="E161" s="12"/>
      <c r="F161" s="12"/>
      <c r="G161" s="77"/>
      <c r="H161" s="12"/>
      <c r="I161" s="12"/>
      <c r="J161" s="12"/>
      <c r="K161" s="12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12"/>
      <c r="Z161" s="234"/>
      <c r="AA161" s="76"/>
      <c r="AB161" s="76"/>
      <c r="AC161" s="76"/>
      <c r="AD161" s="76"/>
      <c r="AE161" s="76"/>
      <c r="AF161" s="76"/>
    </row>
    <row r="162" spans="1:32" ht="16.5" thickBot="1">
      <c r="A162" s="76"/>
      <c r="B162" s="202" t="s">
        <v>15</v>
      </c>
      <c r="C162" s="203"/>
      <c r="D162" s="204">
        <v>1.2</v>
      </c>
      <c r="E162" s="76" t="s">
        <v>16</v>
      </c>
      <c r="F162" s="76"/>
      <c r="G162" s="76"/>
      <c r="H162" s="76"/>
      <c r="I162" s="465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ht="12" customHeight="1">
      <c r="A163" s="76"/>
      <c r="B163" s="12"/>
      <c r="C163" s="12"/>
      <c r="D163" s="466"/>
      <c r="E163" s="76"/>
      <c r="F163" s="76"/>
      <c r="G163" s="76"/>
      <c r="H163" s="76"/>
      <c r="I163" s="467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ht="18.75" thickBot="1">
      <c r="A164" s="76"/>
      <c r="B164" s="468" t="s">
        <v>17</v>
      </c>
      <c r="C164" s="468"/>
      <c r="D164" s="469">
        <f>B154</f>
        <v>971</v>
      </c>
      <c r="E164" s="76" t="s">
        <v>18</v>
      </c>
      <c r="F164" s="391" t="s">
        <v>474</v>
      </c>
      <c r="G164" s="465">
        <f>D154+E154</f>
        <v>0</v>
      </c>
      <c r="H164" s="12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ht="12.75" customHeight="1">
      <c r="A165" s="76"/>
      <c r="B165" s="12"/>
      <c r="C165" s="12"/>
      <c r="D165" s="466"/>
      <c r="E165" s="76"/>
      <c r="F165" s="76"/>
      <c r="G165" s="12"/>
      <c r="H165" s="320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ht="15.75">
      <c r="A166" s="76"/>
      <c r="B166" s="456" t="s">
        <v>455</v>
      </c>
      <c r="C166" s="76"/>
      <c r="D166" s="76"/>
      <c r="E166" s="76"/>
      <c r="F166" s="456" t="s">
        <v>456</v>
      </c>
      <c r="G166" s="76"/>
      <c r="H166" s="76"/>
      <c r="I166" s="76"/>
      <c r="J166" s="456" t="s">
        <v>478</v>
      </c>
      <c r="K166" s="76"/>
      <c r="L166" s="76"/>
      <c r="M166" s="76"/>
      <c r="N166" s="76"/>
      <c r="O166" s="456" t="s">
        <v>479</v>
      </c>
      <c r="P166" s="76"/>
      <c r="Q166" s="76"/>
      <c r="R166" s="76"/>
      <c r="S166" s="76"/>
      <c r="T166" s="456" t="s">
        <v>499</v>
      </c>
      <c r="U166" s="76"/>
      <c r="V166" s="76"/>
      <c r="W166" s="76"/>
      <c r="X166" s="76"/>
      <c r="Y166" s="456" t="s">
        <v>480</v>
      </c>
      <c r="Z166" s="76"/>
      <c r="AA166" s="76"/>
      <c r="AB166" s="76"/>
      <c r="AC166" s="76"/>
      <c r="AD166" s="76"/>
      <c r="AE166" s="76"/>
      <c r="AF166" s="76"/>
    </row>
    <row r="167" spans="1:32" ht="12.75" customHeight="1" thickBot="1">
      <c r="A167" s="76"/>
      <c r="B167" s="456"/>
      <c r="C167" s="76"/>
      <c r="D167" s="76"/>
      <c r="E167" s="76"/>
      <c r="F167" s="456"/>
      <c r="G167" s="76"/>
      <c r="H167" s="76"/>
      <c r="I167" s="76" t="s">
        <v>459</v>
      </c>
      <c r="J167" s="456"/>
      <c r="K167" s="76"/>
      <c r="L167" s="76"/>
      <c r="M167" s="76" t="s">
        <v>459</v>
      </c>
      <c r="N167" s="470" t="s">
        <v>460</v>
      </c>
      <c r="O167" s="456"/>
      <c r="P167" s="76"/>
      <c r="Q167" s="76"/>
      <c r="R167" s="76" t="s">
        <v>459</v>
      </c>
      <c r="S167" s="470" t="s">
        <v>460</v>
      </c>
      <c r="T167" s="456"/>
      <c r="U167" s="76"/>
      <c r="V167" s="76"/>
      <c r="W167" s="76" t="s">
        <v>459</v>
      </c>
      <c r="X167" s="470" t="s">
        <v>460</v>
      </c>
      <c r="Y167" s="456"/>
      <c r="Z167" s="76"/>
      <c r="AA167" s="76"/>
      <c r="AB167" s="76" t="s">
        <v>459</v>
      </c>
      <c r="AC167" s="470" t="s">
        <v>460</v>
      </c>
      <c r="AD167" s="76"/>
      <c r="AE167" s="76"/>
      <c r="AF167" s="76"/>
    </row>
    <row r="168" spans="1:29" ht="12.75">
      <c r="A168" s="76"/>
      <c r="B168" s="292">
        <v>400</v>
      </c>
      <c r="C168" s="293" t="s">
        <v>19</v>
      </c>
      <c r="D168" s="294">
        <f>punbasjub*indicesep07*0.82*frac</f>
        <v>394.1289</v>
      </c>
      <c r="E168" s="238"/>
      <c r="F168" s="292">
        <v>400</v>
      </c>
      <c r="G168" s="293" t="s">
        <v>19</v>
      </c>
      <c r="H168" s="294">
        <f>punbasjub*indicemar08*0.82*frac</f>
        <v>469.7698</v>
      </c>
      <c r="I168" s="238">
        <f>H168-D168</f>
        <v>75.64089999999999</v>
      </c>
      <c r="J168" s="292">
        <v>400</v>
      </c>
      <c r="K168" s="293" t="s">
        <v>19</v>
      </c>
      <c r="L168" s="294">
        <f>punbasjub*indicejul08*0.82*frac</f>
        <v>501.61859999999996</v>
      </c>
      <c r="M168" s="238">
        <f>L168-H168</f>
        <v>31.848799999999983</v>
      </c>
      <c r="N168" s="284">
        <f>L168-D168</f>
        <v>107.48969999999997</v>
      </c>
      <c r="O168" s="292">
        <v>400</v>
      </c>
      <c r="P168" s="293" t="s">
        <v>19</v>
      </c>
      <c r="Q168" s="294">
        <f>punbasjub*indiceago08*0.82*frac</f>
        <v>519.93166</v>
      </c>
      <c r="R168" s="238">
        <f>Q168-M168</f>
        <v>488.08286</v>
      </c>
      <c r="S168" s="284">
        <f>Q168-I168</f>
        <v>444.29076</v>
      </c>
      <c r="T168" s="292">
        <v>400</v>
      </c>
      <c r="U168" s="293" t="s">
        <v>19</v>
      </c>
      <c r="V168" s="294">
        <f>punbasjub*indiceoct08*0.82*frac</f>
        <v>537.4485</v>
      </c>
      <c r="W168" s="238">
        <f>V168-R168</f>
        <v>49.365639999999985</v>
      </c>
      <c r="X168" s="284">
        <f>V168-N168</f>
        <v>429.9588</v>
      </c>
      <c r="Y168" s="292">
        <v>400</v>
      </c>
      <c r="Z168" s="293" t="s">
        <v>19</v>
      </c>
      <c r="AA168" s="294">
        <f>punbasjub*indicedic08*0.82*frac</f>
        <v>558.309464</v>
      </c>
      <c r="AB168" s="238">
        <f>AA168-W168</f>
        <v>508.94382400000006</v>
      </c>
      <c r="AC168" s="284">
        <f>AA168-S168</f>
        <v>114.01870400000007</v>
      </c>
    </row>
    <row r="169" spans="1:29" ht="12.75">
      <c r="A169" s="76"/>
      <c r="B169" s="295" t="s">
        <v>453</v>
      </c>
      <c r="C169" s="18" t="s">
        <v>454</v>
      </c>
      <c r="D169" s="296">
        <v>0</v>
      </c>
      <c r="E169" s="238"/>
      <c r="F169" s="319" t="s">
        <v>453</v>
      </c>
      <c r="G169" s="18" t="s">
        <v>454</v>
      </c>
      <c r="H169" s="296">
        <f>compbasico*indicemar08*0.82*frac</f>
        <v>82.246</v>
      </c>
      <c r="I169" s="238">
        <f aca="true" t="shared" si="28" ref="I169:I186">H169-D169</f>
        <v>82.246</v>
      </c>
      <c r="J169" s="295" t="s">
        <v>453</v>
      </c>
      <c r="K169" s="18" t="s">
        <v>454</v>
      </c>
      <c r="L169" s="296">
        <f>compbasico*indicejul08*0.82*frac</f>
        <v>87.82199999999999</v>
      </c>
      <c r="M169" s="238">
        <f aca="true" t="shared" si="29" ref="M169:M186">L169-H169</f>
        <v>5.575999999999993</v>
      </c>
      <c r="N169" s="284">
        <f aca="true" t="shared" si="30" ref="N169:N186">L169-D169</f>
        <v>87.82199999999999</v>
      </c>
      <c r="O169" s="295" t="s">
        <v>453</v>
      </c>
      <c r="P169" s="18" t="s">
        <v>454</v>
      </c>
      <c r="Q169" s="296">
        <f>compbasico*indiceago08*0.82*frac</f>
        <v>91.0282</v>
      </c>
      <c r="R169" s="238">
        <f aca="true" t="shared" si="31" ref="R169:R184">Q169-M169</f>
        <v>85.4522</v>
      </c>
      <c r="S169" s="284">
        <f aca="true" t="shared" si="32" ref="S169:S186">Q169-I169</f>
        <v>8.782200000000003</v>
      </c>
      <c r="T169" s="295" t="s">
        <v>453</v>
      </c>
      <c r="U169" s="18" t="s">
        <v>454</v>
      </c>
      <c r="V169" s="296">
        <f>compbasico*indiceoct08*0.82*frac</f>
        <v>94.09500000000001</v>
      </c>
      <c r="W169" s="238">
        <f aca="true" t="shared" si="33" ref="W169:W184">V169-R169</f>
        <v>8.642800000000008</v>
      </c>
      <c r="X169" s="284">
        <f aca="true" t="shared" si="34" ref="X169:X186">V169-N169</f>
        <v>6.273000000000025</v>
      </c>
      <c r="Y169" s="295" t="s">
        <v>453</v>
      </c>
      <c r="Z169" s="18" t="s">
        <v>454</v>
      </c>
      <c r="AA169" s="296">
        <f>compbasico*indicedic08*0.82*frac</f>
        <v>97.74728</v>
      </c>
      <c r="AB169" s="238">
        <f aca="true" t="shared" si="35" ref="AB169:AB184">AA169-W169</f>
        <v>89.10448</v>
      </c>
      <c r="AC169" s="284">
        <f aca="true" t="shared" si="36" ref="AC169:AC186">AA169-S169</f>
        <v>88.96508</v>
      </c>
    </row>
    <row r="170" spans="1:29" ht="12.75">
      <c r="A170" s="76"/>
      <c r="B170" s="295">
        <v>404</v>
      </c>
      <c r="C170" s="18" t="s">
        <v>361</v>
      </c>
      <c r="D170" s="296">
        <f>C154*indicesep07*0.82*frac</f>
        <v>60.885</v>
      </c>
      <c r="E170" s="238"/>
      <c r="F170" s="295">
        <v>404</v>
      </c>
      <c r="G170" s="18" t="s">
        <v>361</v>
      </c>
      <c r="H170" s="296">
        <f>C154*indicemar08*0.82*frac</f>
        <v>72.57</v>
      </c>
      <c r="I170" s="238">
        <f t="shared" si="28"/>
        <v>11.684999999999995</v>
      </c>
      <c r="J170" s="295">
        <v>404</v>
      </c>
      <c r="K170" s="18" t="s">
        <v>361</v>
      </c>
      <c r="L170" s="296">
        <f>C154*indicejul08*0.82*frac</f>
        <v>77.49</v>
      </c>
      <c r="M170" s="238">
        <f t="shared" si="29"/>
        <v>4.920000000000002</v>
      </c>
      <c r="N170" s="284">
        <f t="shared" si="30"/>
        <v>16.604999999999997</v>
      </c>
      <c r="O170" s="295">
        <v>404</v>
      </c>
      <c r="P170" s="18" t="s">
        <v>361</v>
      </c>
      <c r="Q170" s="296">
        <f>C154*indiceago08*0.82*frac</f>
        <v>80.319</v>
      </c>
      <c r="R170" s="238">
        <f t="shared" si="31"/>
        <v>75.399</v>
      </c>
      <c r="S170" s="284">
        <f t="shared" si="32"/>
        <v>68.63400000000001</v>
      </c>
      <c r="T170" s="295">
        <v>404</v>
      </c>
      <c r="U170" s="18" t="s">
        <v>361</v>
      </c>
      <c r="V170" s="296">
        <f>C154*indiceoct08*0.82*frac</f>
        <v>83.02499999999999</v>
      </c>
      <c r="W170" s="238">
        <f t="shared" si="33"/>
        <v>7.625999999999991</v>
      </c>
      <c r="X170" s="284">
        <f t="shared" si="34"/>
        <v>66.41999999999999</v>
      </c>
      <c r="Y170" s="295">
        <v>404</v>
      </c>
      <c r="Z170" s="18" t="s">
        <v>361</v>
      </c>
      <c r="AA170" s="296">
        <f>C154*indicedic08*0.82*frac</f>
        <v>86.2476</v>
      </c>
      <c r="AB170" s="238">
        <f t="shared" si="35"/>
        <v>78.62160000000002</v>
      </c>
      <c r="AC170" s="284">
        <f t="shared" si="36"/>
        <v>17.61359999999999</v>
      </c>
    </row>
    <row r="171" spans="1:29" ht="12.75">
      <c r="A171" s="76"/>
      <c r="B171" s="295">
        <v>406</v>
      </c>
      <c r="C171" s="18" t="s">
        <v>20</v>
      </c>
      <c r="D171" s="296">
        <f>(D168+D170+D173)*porcantigcargo</f>
        <v>546.01668</v>
      </c>
      <c r="E171" s="238"/>
      <c r="F171" s="295">
        <v>406</v>
      </c>
      <c r="G171" s="18" t="s">
        <v>20</v>
      </c>
      <c r="H171" s="296">
        <f>(H168+H169+H170+H173)*porcantigcargo</f>
        <v>749.50296</v>
      </c>
      <c r="I171" s="238">
        <f t="shared" si="28"/>
        <v>203.48628000000008</v>
      </c>
      <c r="J171" s="295">
        <v>406</v>
      </c>
      <c r="K171" s="18" t="s">
        <v>20</v>
      </c>
      <c r="L171" s="296">
        <f>(L168+L169+L170+L173)*porcantigcargo</f>
        <v>800.3167199999999</v>
      </c>
      <c r="M171" s="238">
        <f t="shared" si="29"/>
        <v>50.81375999999989</v>
      </c>
      <c r="N171" s="284">
        <f t="shared" si="30"/>
        <v>254.30003999999997</v>
      </c>
      <c r="O171" s="295">
        <v>406</v>
      </c>
      <c r="P171" s="18" t="s">
        <v>20</v>
      </c>
      <c r="Q171" s="296">
        <f>(Q168+Q169+Q170+Q173)*porcantigcargo</f>
        <v>829.5346319999999</v>
      </c>
      <c r="R171" s="238">
        <f t="shared" si="31"/>
        <v>778.720872</v>
      </c>
      <c r="S171" s="284">
        <f t="shared" si="32"/>
        <v>626.0483519999998</v>
      </c>
      <c r="T171" s="295">
        <v>406</v>
      </c>
      <c r="U171" s="18" t="s">
        <v>20</v>
      </c>
      <c r="V171" s="296">
        <f>(V168+V169+V170+V173)*porcantigcargo</f>
        <v>857.4821999999999</v>
      </c>
      <c r="W171" s="238">
        <f t="shared" si="33"/>
        <v>78.76132799999993</v>
      </c>
      <c r="X171" s="284">
        <f t="shared" si="34"/>
        <v>603.18216</v>
      </c>
      <c r="Y171" s="295">
        <v>406</v>
      </c>
      <c r="Z171" s="18" t="s">
        <v>20</v>
      </c>
      <c r="AA171" s="296">
        <f>(AA168+AA169+AA170+AA173)*porcantigcargo</f>
        <v>890.7652128000001</v>
      </c>
      <c r="AB171" s="238">
        <f t="shared" si="35"/>
        <v>812.0038848000002</v>
      </c>
      <c r="AC171" s="284">
        <f t="shared" si="36"/>
        <v>264.7168608000003</v>
      </c>
    </row>
    <row r="172" spans="1:29" ht="12.75">
      <c r="A172" s="76"/>
      <c r="B172" s="295">
        <v>408</v>
      </c>
      <c r="C172" s="18" t="s">
        <v>385</v>
      </c>
      <c r="D172" s="296">
        <f>(D168+D173)*porczona</f>
        <v>0</v>
      </c>
      <c r="E172" s="238"/>
      <c r="F172" s="295">
        <v>408</v>
      </c>
      <c r="G172" s="18" t="s">
        <v>385</v>
      </c>
      <c r="H172" s="296">
        <f>(H168+H169+H173)*porczona</f>
        <v>0</v>
      </c>
      <c r="I172" s="238">
        <f t="shared" si="28"/>
        <v>0</v>
      </c>
      <c r="J172" s="295">
        <v>408</v>
      </c>
      <c r="K172" s="18" t="s">
        <v>385</v>
      </c>
      <c r="L172" s="296">
        <f>(L168+L169+L173)*porczona</f>
        <v>0</v>
      </c>
      <c r="M172" s="238">
        <f t="shared" si="29"/>
        <v>0</v>
      </c>
      <c r="N172" s="284">
        <f t="shared" si="30"/>
        <v>0</v>
      </c>
      <c r="O172" s="295">
        <v>408</v>
      </c>
      <c r="P172" s="18" t="s">
        <v>385</v>
      </c>
      <c r="Q172" s="296">
        <f>(Q168+Q169+Q173)*porczona</f>
        <v>0</v>
      </c>
      <c r="R172" s="238">
        <f t="shared" si="31"/>
        <v>0</v>
      </c>
      <c r="S172" s="284">
        <f t="shared" si="32"/>
        <v>0</v>
      </c>
      <c r="T172" s="295">
        <v>408</v>
      </c>
      <c r="U172" s="18" t="s">
        <v>385</v>
      </c>
      <c r="V172" s="296">
        <f>(V168+V169+V173)*porczona</f>
        <v>0</v>
      </c>
      <c r="W172" s="238">
        <f t="shared" si="33"/>
        <v>0</v>
      </c>
      <c r="X172" s="284">
        <f t="shared" si="34"/>
        <v>0</v>
      </c>
      <c r="Y172" s="295">
        <v>408</v>
      </c>
      <c r="Z172" s="18" t="s">
        <v>385</v>
      </c>
      <c r="AA172" s="296">
        <f>(AA168+AA169+AA173)*porczona</f>
        <v>0</v>
      </c>
      <c r="AB172" s="238">
        <f t="shared" si="35"/>
        <v>0</v>
      </c>
      <c r="AC172" s="284">
        <f t="shared" si="36"/>
        <v>0</v>
      </c>
    </row>
    <row r="173" spans="1:29" ht="12.75">
      <c r="A173" s="76"/>
      <c r="B173" s="295">
        <v>416</v>
      </c>
      <c r="C173" s="95" t="s">
        <v>362</v>
      </c>
      <c r="D173" s="296">
        <f>puntosproljor*proljorsep07*0.82*frac</f>
        <v>0</v>
      </c>
      <c r="E173" s="238"/>
      <c r="F173" s="295">
        <v>416</v>
      </c>
      <c r="G173" s="95" t="s">
        <v>362</v>
      </c>
      <c r="H173" s="296">
        <f>puntosproljor*proljormar08*0.82*frac</f>
        <v>0</v>
      </c>
      <c r="I173" s="238">
        <f t="shared" si="28"/>
        <v>0</v>
      </c>
      <c r="J173" s="295">
        <v>416</v>
      </c>
      <c r="K173" s="95" t="s">
        <v>362</v>
      </c>
      <c r="L173" s="296">
        <f>puntosproljor*proljorjul08*0.82*frac</f>
        <v>0</v>
      </c>
      <c r="M173" s="238">
        <f t="shared" si="29"/>
        <v>0</v>
      </c>
      <c r="N173" s="284">
        <f t="shared" si="30"/>
        <v>0</v>
      </c>
      <c r="O173" s="295">
        <v>416</v>
      </c>
      <c r="P173" s="95" t="s">
        <v>362</v>
      </c>
      <c r="Q173" s="296">
        <f>puntosproljor*proljorago08*0.82*frac</f>
        <v>0</v>
      </c>
      <c r="R173" s="238">
        <f t="shared" si="31"/>
        <v>0</v>
      </c>
      <c r="S173" s="284">
        <f t="shared" si="32"/>
        <v>0</v>
      </c>
      <c r="T173" s="295">
        <v>416</v>
      </c>
      <c r="U173" s="95" t="s">
        <v>362</v>
      </c>
      <c r="V173" s="296">
        <f>puntosproljor*proljoroct08*0.82*frac</f>
        <v>0</v>
      </c>
      <c r="W173" s="238">
        <f t="shared" si="33"/>
        <v>0</v>
      </c>
      <c r="X173" s="284">
        <f t="shared" si="34"/>
        <v>0</v>
      </c>
      <c r="Y173" s="295">
        <v>416</v>
      </c>
      <c r="Z173" s="95" t="s">
        <v>362</v>
      </c>
      <c r="AA173" s="296">
        <f>puntosproljor*proljordic08*0.82*frac</f>
        <v>0</v>
      </c>
      <c r="AB173" s="238">
        <f t="shared" si="35"/>
        <v>0</v>
      </c>
      <c r="AC173" s="284">
        <f t="shared" si="36"/>
        <v>0</v>
      </c>
    </row>
    <row r="174" spans="1:29" ht="12.75">
      <c r="A174" s="453"/>
      <c r="B174" s="295">
        <v>432</v>
      </c>
      <c r="C174" s="18" t="s">
        <v>383</v>
      </c>
      <c r="D174" s="296">
        <f>cod06sep07*0.82*frac</f>
        <v>508.4</v>
      </c>
      <c r="E174" s="238"/>
      <c r="F174" s="295">
        <v>432</v>
      </c>
      <c r="G174" s="18" t="s">
        <v>383</v>
      </c>
      <c r="H174" s="296">
        <f>cod06sep07*0.82*frac</f>
        <v>508.4</v>
      </c>
      <c r="I174" s="238">
        <f t="shared" si="28"/>
        <v>0</v>
      </c>
      <c r="J174" s="295">
        <v>432</v>
      </c>
      <c r="K174" s="18" t="s">
        <v>383</v>
      </c>
      <c r="L174" s="296">
        <f>cod06sep07*0.82*frac</f>
        <v>508.4</v>
      </c>
      <c r="M174" s="238">
        <f t="shared" si="29"/>
        <v>0</v>
      </c>
      <c r="N174" s="284">
        <f t="shared" si="30"/>
        <v>0</v>
      </c>
      <c r="O174" s="295">
        <v>432</v>
      </c>
      <c r="P174" s="18" t="s">
        <v>383</v>
      </c>
      <c r="Q174" s="296">
        <f>cod06ago08*0.82*frac</f>
        <v>586.3</v>
      </c>
      <c r="R174" s="238">
        <f t="shared" si="31"/>
        <v>586.3</v>
      </c>
      <c r="S174" s="284">
        <f t="shared" si="32"/>
        <v>586.3</v>
      </c>
      <c r="T174" s="295">
        <v>432</v>
      </c>
      <c r="U174" s="18" t="s">
        <v>383</v>
      </c>
      <c r="V174" s="296">
        <f>cod06oct08*0.82*frac</f>
        <v>594.5</v>
      </c>
      <c r="W174" s="238">
        <f t="shared" si="33"/>
        <v>8.200000000000045</v>
      </c>
      <c r="X174" s="284">
        <f t="shared" si="34"/>
        <v>594.5</v>
      </c>
      <c r="Y174" s="295">
        <v>432</v>
      </c>
      <c r="Z174" s="18" t="s">
        <v>383</v>
      </c>
      <c r="AA174" s="296">
        <f>cod06dic08*0.82*frac</f>
        <v>598.5999999999999</v>
      </c>
      <c r="AB174" s="238">
        <f t="shared" si="35"/>
        <v>590.3999999999999</v>
      </c>
      <c r="AC174" s="284">
        <f t="shared" si="36"/>
        <v>12.299999999999955</v>
      </c>
    </row>
    <row r="175" spans="1:29" ht="12.75">
      <c r="A175" s="453"/>
      <c r="B175" s="295">
        <v>434</v>
      </c>
      <c r="C175" s="18" t="s">
        <v>360</v>
      </c>
      <c r="D175" s="296">
        <f>(D168+D170+D171+D173+D174+D172)*0.07*0.95</f>
        <v>100.37713356999998</v>
      </c>
      <c r="E175" s="238"/>
      <c r="F175" s="295">
        <v>434</v>
      </c>
      <c r="G175" s="18" t="s">
        <v>360</v>
      </c>
      <c r="H175" s="296">
        <f>(H168+H170+H171+H173+H174+H172)*0.07*0.95</f>
        <v>119.71614354</v>
      </c>
      <c r="I175" s="238">
        <f t="shared" si="28"/>
        <v>19.33900997000002</v>
      </c>
      <c r="J175" s="295">
        <v>434</v>
      </c>
      <c r="K175" s="18" t="s">
        <v>360</v>
      </c>
      <c r="L175" s="296">
        <f>(L168+L170+L171+L173+L174+L172)*0.07*0.95</f>
        <v>125.54038378</v>
      </c>
      <c r="M175" s="238">
        <f t="shared" si="29"/>
        <v>5.824240239999995</v>
      </c>
      <c r="N175" s="284">
        <f t="shared" si="30"/>
        <v>25.163250210000015</v>
      </c>
      <c r="O175" s="295">
        <v>434</v>
      </c>
      <c r="P175" s="18" t="s">
        <v>360</v>
      </c>
      <c r="Q175" s="296">
        <f>(Q168+Q170+Q171+Q173+Q174+Q172)*0.07*0.95</f>
        <v>134.06967191799998</v>
      </c>
      <c r="R175" s="238">
        <f t="shared" si="31"/>
        <v>128.245431678</v>
      </c>
      <c r="S175" s="284">
        <f t="shared" si="32"/>
        <v>114.73066194799996</v>
      </c>
      <c r="T175" s="295">
        <v>434</v>
      </c>
      <c r="U175" s="18" t="s">
        <v>360</v>
      </c>
      <c r="V175" s="296">
        <f>(V168+V170+V171+V173+V174+V172)*0.07*0.95</f>
        <v>137.81830405</v>
      </c>
      <c r="W175" s="238">
        <f t="shared" si="33"/>
        <v>9.572872372000006</v>
      </c>
      <c r="X175" s="284">
        <f t="shared" si="34"/>
        <v>112.65505383999998</v>
      </c>
      <c r="Y175" s="295">
        <v>434</v>
      </c>
      <c r="Z175" s="18" t="s">
        <v>360</v>
      </c>
      <c r="AA175" s="296">
        <f>(AA168+AA170+AA171+AA173+AA174+AA172)*0.07*0.95</f>
        <v>141.9058314072</v>
      </c>
      <c r="AB175" s="238">
        <f t="shared" si="35"/>
        <v>132.3329590352</v>
      </c>
      <c r="AC175" s="284">
        <f t="shared" si="36"/>
        <v>27.175169459200035</v>
      </c>
    </row>
    <row r="176" spans="1:29" ht="13.5" thickBot="1">
      <c r="A176" s="453"/>
      <c r="B176" s="295"/>
      <c r="C176" s="96" t="s">
        <v>381</v>
      </c>
      <c r="D176" s="298">
        <v>0</v>
      </c>
      <c r="E176" s="238"/>
      <c r="F176" s="295"/>
      <c r="G176" s="96" t="s">
        <v>381</v>
      </c>
      <c r="H176" s="309">
        <f>D176</f>
        <v>0</v>
      </c>
      <c r="I176" s="238">
        <f t="shared" si="28"/>
        <v>0</v>
      </c>
      <c r="J176" s="295"/>
      <c r="K176" s="96" t="s">
        <v>381</v>
      </c>
      <c r="L176" s="309">
        <f>H176</f>
        <v>0</v>
      </c>
      <c r="M176" s="238">
        <f t="shared" si="29"/>
        <v>0</v>
      </c>
      <c r="N176" s="284">
        <f t="shared" si="30"/>
        <v>0</v>
      </c>
      <c r="O176" s="295"/>
      <c r="P176" s="96" t="s">
        <v>381</v>
      </c>
      <c r="Q176" s="309">
        <f>M176</f>
        <v>0</v>
      </c>
      <c r="R176" s="238">
        <f t="shared" si="31"/>
        <v>0</v>
      </c>
      <c r="S176" s="284">
        <f t="shared" si="32"/>
        <v>0</v>
      </c>
      <c r="T176" s="295"/>
      <c r="U176" s="96" t="s">
        <v>381</v>
      </c>
      <c r="V176" s="309">
        <f>R176</f>
        <v>0</v>
      </c>
      <c r="W176" s="238">
        <f t="shared" si="33"/>
        <v>0</v>
      </c>
      <c r="X176" s="284">
        <f t="shared" si="34"/>
        <v>0</v>
      </c>
      <c r="Y176" s="295"/>
      <c r="Z176" s="96" t="s">
        <v>381</v>
      </c>
      <c r="AA176" s="309">
        <f>W176</f>
        <v>0</v>
      </c>
      <c r="AB176" s="238">
        <f t="shared" si="35"/>
        <v>0</v>
      </c>
      <c r="AC176" s="284">
        <f t="shared" si="36"/>
        <v>0</v>
      </c>
    </row>
    <row r="177" spans="1:29" ht="16.5" thickBot="1">
      <c r="A177" s="453"/>
      <c r="B177" s="299"/>
      <c r="C177" s="98" t="s">
        <v>21</v>
      </c>
      <c r="D177" s="99">
        <f>SUM(D168:D176)</f>
        <v>1609.8077135699998</v>
      </c>
      <c r="E177" s="238"/>
      <c r="F177" s="299"/>
      <c r="G177" s="98" t="s">
        <v>21</v>
      </c>
      <c r="H177" s="99">
        <f>SUM(H168:H176)</f>
        <v>2002.2049035400003</v>
      </c>
      <c r="I177" s="245">
        <f t="shared" si="28"/>
        <v>392.39718997000045</v>
      </c>
      <c r="J177" s="299"/>
      <c r="K177" s="98" t="s">
        <v>21</v>
      </c>
      <c r="L177" s="99">
        <f>SUM(L168:L176)</f>
        <v>2101.18770378</v>
      </c>
      <c r="M177" s="245">
        <f t="shared" si="29"/>
        <v>98.98280023999973</v>
      </c>
      <c r="N177" s="285">
        <f t="shared" si="30"/>
        <v>491.3799902100002</v>
      </c>
      <c r="O177" s="299"/>
      <c r="P177" s="98" t="s">
        <v>21</v>
      </c>
      <c r="Q177" s="99">
        <f>SUM(Q168:Q176)</f>
        <v>2241.1831639179995</v>
      </c>
      <c r="R177" s="245">
        <f t="shared" si="31"/>
        <v>2142.200363678</v>
      </c>
      <c r="S177" s="285">
        <f t="shared" si="32"/>
        <v>1848.785973947999</v>
      </c>
      <c r="T177" s="299"/>
      <c r="U177" s="98" t="s">
        <v>21</v>
      </c>
      <c r="V177" s="99">
        <f>SUM(V168:V176)</f>
        <v>2304.3690040499996</v>
      </c>
      <c r="W177" s="245">
        <f t="shared" si="33"/>
        <v>162.16864037199957</v>
      </c>
      <c r="X177" s="285">
        <f t="shared" si="34"/>
        <v>1812.9890138399994</v>
      </c>
      <c r="Y177" s="299"/>
      <c r="Z177" s="98" t="s">
        <v>21</v>
      </c>
      <c r="AA177" s="99">
        <f>SUM(AA168:AA176)</f>
        <v>2373.5753882072</v>
      </c>
      <c r="AB177" s="245">
        <f t="shared" si="35"/>
        <v>2211.4067478352003</v>
      </c>
      <c r="AC177" s="285">
        <f t="shared" si="36"/>
        <v>524.7894142592008</v>
      </c>
    </row>
    <row r="178" spans="1:29" ht="12.75">
      <c r="A178" s="453"/>
      <c r="B178" s="295">
        <v>703</v>
      </c>
      <c r="C178" s="100" t="s">
        <v>363</v>
      </c>
      <c r="D178" s="300">
        <f>(D177-D176)*0.0025</f>
        <v>4.024519283925</v>
      </c>
      <c r="E178" s="245"/>
      <c r="F178" s="295">
        <v>703</v>
      </c>
      <c r="G178" s="100" t="s">
        <v>363</v>
      </c>
      <c r="H178" s="300">
        <f>(H177-H176)*0.0025</f>
        <v>5.0055122588500005</v>
      </c>
      <c r="I178" s="15">
        <f t="shared" si="28"/>
        <v>0.9809929749250008</v>
      </c>
      <c r="J178" s="295">
        <v>703</v>
      </c>
      <c r="K178" s="100" t="s">
        <v>363</v>
      </c>
      <c r="L178" s="300">
        <f>(L177-L176)*0.0025</f>
        <v>5.25296925945</v>
      </c>
      <c r="M178" s="15">
        <f t="shared" si="29"/>
        <v>0.24745700059999987</v>
      </c>
      <c r="N178" s="286">
        <f t="shared" si="30"/>
        <v>1.2284499755250007</v>
      </c>
      <c r="O178" s="295">
        <v>703</v>
      </c>
      <c r="P178" s="100" t="s">
        <v>363</v>
      </c>
      <c r="Q178" s="300">
        <f>(Q177-Q176)*0.0025</f>
        <v>5.602957909794999</v>
      </c>
      <c r="R178" s="15">
        <f t="shared" si="31"/>
        <v>5.355500909194999</v>
      </c>
      <c r="S178" s="286">
        <f t="shared" si="32"/>
        <v>4.6219649348699985</v>
      </c>
      <c r="T178" s="295">
        <v>703</v>
      </c>
      <c r="U178" s="100" t="s">
        <v>363</v>
      </c>
      <c r="V178" s="300">
        <f>(V177-V176)*0.0025</f>
        <v>5.760922510124999</v>
      </c>
      <c r="W178" s="15">
        <f t="shared" si="33"/>
        <v>0.40542160092999957</v>
      </c>
      <c r="X178" s="286">
        <f t="shared" si="34"/>
        <v>4.532472534599998</v>
      </c>
      <c r="Y178" s="295">
        <v>703</v>
      </c>
      <c r="Z178" s="100" t="s">
        <v>363</v>
      </c>
      <c r="AA178" s="300">
        <f>(AA177-AA176)*0.0025</f>
        <v>5.933938470518</v>
      </c>
      <c r="AB178" s="15">
        <f t="shared" si="35"/>
        <v>5.5285168695880005</v>
      </c>
      <c r="AC178" s="286">
        <f t="shared" si="36"/>
        <v>1.3119735356480016</v>
      </c>
    </row>
    <row r="179" spans="1:29" ht="12.75">
      <c r="A179" s="76"/>
      <c r="B179" s="301">
        <v>707</v>
      </c>
      <c r="C179" s="102" t="s">
        <v>23</v>
      </c>
      <c r="D179" s="302">
        <f>(D177-D176)*0.03</f>
        <v>48.29423140709999</v>
      </c>
      <c r="E179" s="245"/>
      <c r="F179" s="301">
        <v>707</v>
      </c>
      <c r="G179" s="102" t="s">
        <v>23</v>
      </c>
      <c r="H179" s="302">
        <f>(H177-H176)*0.03</f>
        <v>60.066147106200006</v>
      </c>
      <c r="I179" s="15">
        <f t="shared" si="28"/>
        <v>11.771915699100013</v>
      </c>
      <c r="J179" s="301">
        <v>707</v>
      </c>
      <c r="K179" s="102" t="s">
        <v>23</v>
      </c>
      <c r="L179" s="302">
        <f>(L177-L176)*0.03</f>
        <v>63.0356311134</v>
      </c>
      <c r="M179" s="15">
        <f t="shared" si="29"/>
        <v>2.969484007199995</v>
      </c>
      <c r="N179" s="286">
        <f t="shared" si="30"/>
        <v>14.741399706300008</v>
      </c>
      <c r="O179" s="301">
        <v>707</v>
      </c>
      <c r="P179" s="102" t="s">
        <v>23</v>
      </c>
      <c r="Q179" s="302">
        <f>(Q177-Q176)*0.03</f>
        <v>67.23549491753998</v>
      </c>
      <c r="R179" s="15">
        <f t="shared" si="31"/>
        <v>64.26601091033999</v>
      </c>
      <c r="S179" s="286">
        <f t="shared" si="32"/>
        <v>55.46357921843997</v>
      </c>
      <c r="T179" s="301">
        <v>707</v>
      </c>
      <c r="U179" s="102" t="s">
        <v>23</v>
      </c>
      <c r="V179" s="302">
        <f>(V177-V176)*0.03</f>
        <v>69.13107012149999</v>
      </c>
      <c r="W179" s="15">
        <f t="shared" si="33"/>
        <v>4.865059211160002</v>
      </c>
      <c r="X179" s="286">
        <f t="shared" si="34"/>
        <v>54.38967041519998</v>
      </c>
      <c r="Y179" s="301">
        <v>707</v>
      </c>
      <c r="Z179" s="102" t="s">
        <v>23</v>
      </c>
      <c r="AA179" s="302">
        <f>(AA177-AA176)*0.03</f>
        <v>71.207261646216</v>
      </c>
      <c r="AB179" s="15">
        <f t="shared" si="35"/>
        <v>66.342202435056</v>
      </c>
      <c r="AC179" s="286">
        <f t="shared" si="36"/>
        <v>15.74368242777603</v>
      </c>
    </row>
    <row r="180" spans="1:29" ht="12.75">
      <c r="A180" s="191"/>
      <c r="B180" s="301">
        <v>709</v>
      </c>
      <c r="C180" s="102" t="s">
        <v>24</v>
      </c>
      <c r="D180" s="302">
        <f>(D177-D176)*0.0213</f>
        <v>34.28890429904099</v>
      </c>
      <c r="E180" s="245"/>
      <c r="F180" s="301">
        <v>709</v>
      </c>
      <c r="G180" s="102" t="s">
        <v>24</v>
      </c>
      <c r="H180" s="302">
        <f>(H177-H176)*0.0213</f>
        <v>42.646964445402006</v>
      </c>
      <c r="I180" s="15">
        <f t="shared" si="28"/>
        <v>8.358060146361012</v>
      </c>
      <c r="J180" s="301">
        <v>709</v>
      </c>
      <c r="K180" s="102" t="s">
        <v>24</v>
      </c>
      <c r="L180" s="302">
        <f>(L177-L176)*0.0213</f>
        <v>44.755298090513996</v>
      </c>
      <c r="M180" s="15">
        <f t="shared" si="29"/>
        <v>2.1083336451119905</v>
      </c>
      <c r="N180" s="286">
        <f t="shared" si="30"/>
        <v>10.466393791473003</v>
      </c>
      <c r="O180" s="301">
        <v>709</v>
      </c>
      <c r="P180" s="102" t="s">
        <v>24</v>
      </c>
      <c r="Q180" s="302">
        <f>(Q177-Q176)*0.0213</f>
        <v>47.73720139145339</v>
      </c>
      <c r="R180" s="15">
        <f t="shared" si="31"/>
        <v>45.6288677463414</v>
      </c>
      <c r="S180" s="286">
        <f t="shared" si="32"/>
        <v>39.37914124509238</v>
      </c>
      <c r="T180" s="301">
        <v>709</v>
      </c>
      <c r="U180" s="102" t="s">
        <v>24</v>
      </c>
      <c r="V180" s="302">
        <f>(V177-V176)*0.0213</f>
        <v>49.08305978626499</v>
      </c>
      <c r="W180" s="15">
        <f t="shared" si="33"/>
        <v>3.4541920399235906</v>
      </c>
      <c r="X180" s="286">
        <f t="shared" si="34"/>
        <v>38.61666599479199</v>
      </c>
      <c r="Y180" s="301">
        <v>709</v>
      </c>
      <c r="Z180" s="102" t="s">
        <v>24</v>
      </c>
      <c r="AA180" s="302">
        <f>(AA177-AA176)*0.0213</f>
        <v>50.55715576881336</v>
      </c>
      <c r="AB180" s="15">
        <f t="shared" si="35"/>
        <v>47.10296372888977</v>
      </c>
      <c r="AC180" s="286">
        <f t="shared" si="36"/>
        <v>11.178014523720982</v>
      </c>
    </row>
    <row r="181" spans="1:29" ht="12.75">
      <c r="A181" s="191"/>
      <c r="B181" s="303">
        <v>710</v>
      </c>
      <c r="C181" s="102" t="s">
        <v>25</v>
      </c>
      <c r="D181" s="302">
        <f>(D177-D176)*0.00754</f>
        <v>12.137950160317798</v>
      </c>
      <c r="E181" s="245"/>
      <c r="F181" s="303">
        <v>710</v>
      </c>
      <c r="G181" s="102" t="s">
        <v>25</v>
      </c>
      <c r="H181" s="302">
        <f>(H177-H176)*0.00754</f>
        <v>15.096624972691602</v>
      </c>
      <c r="I181" s="15">
        <f t="shared" si="28"/>
        <v>2.958674812373804</v>
      </c>
      <c r="J181" s="303">
        <v>710</v>
      </c>
      <c r="K181" s="102" t="s">
        <v>25</v>
      </c>
      <c r="L181" s="302">
        <f>(L177-L176)*0.00754</f>
        <v>15.8429552865012</v>
      </c>
      <c r="M181" s="15">
        <f t="shared" si="29"/>
        <v>0.7463303138095974</v>
      </c>
      <c r="N181" s="286">
        <f t="shared" si="30"/>
        <v>3.7050051261834014</v>
      </c>
      <c r="O181" s="303">
        <v>710</v>
      </c>
      <c r="P181" s="102" t="s">
        <v>25</v>
      </c>
      <c r="Q181" s="302">
        <f>(Q177-Q176)*0.00754</f>
        <v>16.898521055941718</v>
      </c>
      <c r="R181" s="15">
        <f t="shared" si="31"/>
        <v>16.15219074213212</v>
      </c>
      <c r="S181" s="286">
        <f t="shared" si="32"/>
        <v>13.939846243567914</v>
      </c>
      <c r="T181" s="303">
        <v>710</v>
      </c>
      <c r="U181" s="102" t="s">
        <v>25</v>
      </c>
      <c r="V181" s="302">
        <f>(V177-V176)*0.00754</f>
        <v>17.374942290536996</v>
      </c>
      <c r="W181" s="15">
        <f t="shared" si="33"/>
        <v>1.2227515484048759</v>
      </c>
      <c r="X181" s="286">
        <f t="shared" si="34"/>
        <v>13.669937164353595</v>
      </c>
      <c r="Y181" s="303">
        <v>710</v>
      </c>
      <c r="Z181" s="102" t="s">
        <v>25</v>
      </c>
      <c r="AA181" s="302">
        <f>(AA177-AA176)*0.00754</f>
        <v>17.896758427082286</v>
      </c>
      <c r="AB181" s="15">
        <f t="shared" si="35"/>
        <v>16.67400687867741</v>
      </c>
      <c r="AC181" s="286">
        <f t="shared" si="36"/>
        <v>3.9569121835143726</v>
      </c>
    </row>
    <row r="182" spans="1:29" ht="12.75">
      <c r="A182" s="191"/>
      <c r="B182" s="303">
        <v>713</v>
      </c>
      <c r="C182" s="102" t="s">
        <v>26</v>
      </c>
      <c r="D182" s="302">
        <f>(D177-D176)*0.007</f>
        <v>11.268653994989998</v>
      </c>
      <c r="E182" s="245"/>
      <c r="F182" s="303">
        <v>713</v>
      </c>
      <c r="G182" s="102" t="s">
        <v>26</v>
      </c>
      <c r="H182" s="302">
        <f>(H177-H176)*0.007</f>
        <v>14.015434324780003</v>
      </c>
      <c r="I182" s="15">
        <f t="shared" si="28"/>
        <v>2.7467803297900044</v>
      </c>
      <c r="J182" s="303">
        <v>713</v>
      </c>
      <c r="K182" s="102" t="s">
        <v>26</v>
      </c>
      <c r="L182" s="302">
        <f>(L177-L176)*0.007</f>
        <v>14.70831392646</v>
      </c>
      <c r="M182" s="15">
        <f t="shared" si="29"/>
        <v>0.6928796016799978</v>
      </c>
      <c r="N182" s="286">
        <f t="shared" si="30"/>
        <v>3.4396599314700023</v>
      </c>
      <c r="O182" s="303">
        <v>713</v>
      </c>
      <c r="P182" s="102" t="s">
        <v>26</v>
      </c>
      <c r="Q182" s="302">
        <f>(Q177-Q176)*0.007</f>
        <v>15.688282147425998</v>
      </c>
      <c r="R182" s="15">
        <f t="shared" si="31"/>
        <v>14.995402545746</v>
      </c>
      <c r="S182" s="286">
        <f t="shared" si="32"/>
        <v>12.941501817635993</v>
      </c>
      <c r="T182" s="303">
        <v>713</v>
      </c>
      <c r="U182" s="102" t="s">
        <v>26</v>
      </c>
      <c r="V182" s="302">
        <f>(V177-V176)*0.007</f>
        <v>16.130583028349996</v>
      </c>
      <c r="W182" s="15">
        <f t="shared" si="33"/>
        <v>1.135180482603996</v>
      </c>
      <c r="X182" s="286">
        <f t="shared" si="34"/>
        <v>12.690923096879994</v>
      </c>
      <c r="Y182" s="303">
        <v>713</v>
      </c>
      <c r="Z182" s="102" t="s">
        <v>26</v>
      </c>
      <c r="AA182" s="302">
        <f>(AA177-AA176)*0.007</f>
        <v>16.6150277174504</v>
      </c>
      <c r="AB182" s="15">
        <f t="shared" si="35"/>
        <v>15.479847234846403</v>
      </c>
      <c r="AC182" s="286">
        <f t="shared" si="36"/>
        <v>3.673525899814406</v>
      </c>
    </row>
    <row r="183" spans="1:29" ht="13.5" thickBot="1">
      <c r="A183" s="192"/>
      <c r="B183" s="303"/>
      <c r="C183" s="103" t="s">
        <v>27</v>
      </c>
      <c r="D183" s="304">
        <v>0</v>
      </c>
      <c r="E183" s="245"/>
      <c r="F183" s="303"/>
      <c r="G183" s="103" t="s">
        <v>27</v>
      </c>
      <c r="H183" s="312">
        <f>D183</f>
        <v>0</v>
      </c>
      <c r="I183" s="15">
        <f t="shared" si="28"/>
        <v>0</v>
      </c>
      <c r="J183" s="303"/>
      <c r="K183" s="103" t="s">
        <v>27</v>
      </c>
      <c r="L183" s="312">
        <f>H183</f>
        <v>0</v>
      </c>
      <c r="M183" s="15">
        <f t="shared" si="29"/>
        <v>0</v>
      </c>
      <c r="N183" s="286">
        <f t="shared" si="30"/>
        <v>0</v>
      </c>
      <c r="O183" s="303"/>
      <c r="P183" s="103" t="s">
        <v>27</v>
      </c>
      <c r="Q183" s="312">
        <f>M183</f>
        <v>0</v>
      </c>
      <c r="R183" s="15">
        <f t="shared" si="31"/>
        <v>0</v>
      </c>
      <c r="S183" s="286">
        <f t="shared" si="32"/>
        <v>0</v>
      </c>
      <c r="T183" s="303"/>
      <c r="U183" s="103" t="s">
        <v>27</v>
      </c>
      <c r="V183" s="312">
        <f>R183</f>
        <v>0</v>
      </c>
      <c r="W183" s="15">
        <f t="shared" si="33"/>
        <v>0</v>
      </c>
      <c r="X183" s="286">
        <f t="shared" si="34"/>
        <v>0</v>
      </c>
      <c r="Y183" s="303"/>
      <c r="Z183" s="103" t="s">
        <v>27</v>
      </c>
      <c r="AA183" s="312">
        <f>W183</f>
        <v>0</v>
      </c>
      <c r="AB183" s="15">
        <f t="shared" si="35"/>
        <v>0</v>
      </c>
      <c r="AC183" s="286">
        <f t="shared" si="36"/>
        <v>0</v>
      </c>
    </row>
    <row r="184" spans="1:29" ht="16.5" thickBot="1">
      <c r="A184" s="453"/>
      <c r="B184" s="305"/>
      <c r="C184" s="98" t="s">
        <v>28</v>
      </c>
      <c r="D184" s="99">
        <f>SUM(D178:D183)</f>
        <v>110.01425914537379</v>
      </c>
      <c r="E184" s="245"/>
      <c r="F184" s="305"/>
      <c r="G184" s="98" t="s">
        <v>28</v>
      </c>
      <c r="H184" s="99">
        <f>SUM(H178:H183)</f>
        <v>136.83068310792362</v>
      </c>
      <c r="I184" s="15">
        <f t="shared" si="28"/>
        <v>26.816423962549834</v>
      </c>
      <c r="J184" s="305"/>
      <c r="K184" s="98" t="s">
        <v>28</v>
      </c>
      <c r="L184" s="99">
        <f>SUM(L178:L183)</f>
        <v>143.5951676763252</v>
      </c>
      <c r="M184" s="15">
        <f t="shared" si="29"/>
        <v>6.764484568401571</v>
      </c>
      <c r="N184" s="286">
        <f t="shared" si="30"/>
        <v>33.580908530951405</v>
      </c>
      <c r="O184" s="305"/>
      <c r="P184" s="98" t="s">
        <v>28</v>
      </c>
      <c r="Q184" s="99">
        <f>SUM(Q178:Q183)</f>
        <v>153.1624574221561</v>
      </c>
      <c r="R184" s="15">
        <f t="shared" si="31"/>
        <v>146.39797285375454</v>
      </c>
      <c r="S184" s="286">
        <f t="shared" si="32"/>
        <v>126.34603345960628</v>
      </c>
      <c r="T184" s="305"/>
      <c r="U184" s="98" t="s">
        <v>28</v>
      </c>
      <c r="V184" s="99">
        <f>SUM(V178:V183)</f>
        <v>157.48057773677698</v>
      </c>
      <c r="W184" s="15">
        <f t="shared" si="33"/>
        <v>11.08260488302244</v>
      </c>
      <c r="X184" s="286">
        <f t="shared" si="34"/>
        <v>123.89966920582557</v>
      </c>
      <c r="Y184" s="305"/>
      <c r="Z184" s="98" t="s">
        <v>28</v>
      </c>
      <c r="AA184" s="99">
        <f>SUM(AA178:AA183)</f>
        <v>162.21014203008005</v>
      </c>
      <c r="AB184" s="15">
        <f t="shared" si="35"/>
        <v>151.1275371470576</v>
      </c>
      <c r="AC184" s="286">
        <f t="shared" si="36"/>
        <v>35.864108570473775</v>
      </c>
    </row>
    <row r="185" spans="1:29" ht="13.5" thickBot="1">
      <c r="A185" s="453"/>
      <c r="B185" s="306"/>
      <c r="C185" s="106"/>
      <c r="D185" s="307"/>
      <c r="E185" s="238"/>
      <c r="F185" s="306"/>
      <c r="G185" s="106"/>
      <c r="H185" s="307"/>
      <c r="I185" s="15"/>
      <c r="J185" s="306"/>
      <c r="K185" s="106"/>
      <c r="L185" s="307"/>
      <c r="M185" s="15"/>
      <c r="N185" s="286">
        <f t="shared" si="30"/>
        <v>0</v>
      </c>
      <c r="O185" s="306"/>
      <c r="P185" s="106"/>
      <c r="Q185" s="307"/>
      <c r="R185" s="15"/>
      <c r="S185" s="286">
        <f t="shared" si="32"/>
        <v>0</v>
      </c>
      <c r="T185" s="306"/>
      <c r="U185" s="106"/>
      <c r="V185" s="307"/>
      <c r="W185" s="15"/>
      <c r="X185" s="286">
        <f t="shared" si="34"/>
        <v>0</v>
      </c>
      <c r="Y185" s="306"/>
      <c r="Z185" s="106"/>
      <c r="AA185" s="307"/>
      <c r="AB185" s="15"/>
      <c r="AC185" s="286">
        <f t="shared" si="36"/>
        <v>0</v>
      </c>
    </row>
    <row r="186" spans="1:29" ht="16.5" thickBot="1">
      <c r="A186" s="76"/>
      <c r="B186" s="308"/>
      <c r="C186" s="109" t="s">
        <v>29</v>
      </c>
      <c r="D186" s="110">
        <f>D177-D184</f>
        <v>1499.793454424626</v>
      </c>
      <c r="E186" s="238"/>
      <c r="F186" s="308"/>
      <c r="G186" s="109" t="s">
        <v>29</v>
      </c>
      <c r="H186" s="110">
        <f>H177-H184</f>
        <v>1865.3742204320765</v>
      </c>
      <c r="I186" s="279">
        <f t="shared" si="28"/>
        <v>365.5807660074506</v>
      </c>
      <c r="J186" s="308"/>
      <c r="K186" s="109" t="s">
        <v>29</v>
      </c>
      <c r="L186" s="110">
        <f>L177-L184</f>
        <v>1957.5925361036748</v>
      </c>
      <c r="M186" s="279">
        <f t="shared" si="29"/>
        <v>92.21831567159825</v>
      </c>
      <c r="N186" s="287">
        <f t="shared" si="30"/>
        <v>457.79908167904887</v>
      </c>
      <c r="O186" s="308"/>
      <c r="P186" s="109" t="s">
        <v>29</v>
      </c>
      <c r="Q186" s="110">
        <f>Q177-Q184</f>
        <v>2088.0207064958436</v>
      </c>
      <c r="R186" s="279">
        <f>Q186-M186</f>
        <v>1995.8023908242453</v>
      </c>
      <c r="S186" s="287">
        <f t="shared" si="32"/>
        <v>1722.439940488393</v>
      </c>
      <c r="T186" s="308"/>
      <c r="U186" s="109" t="s">
        <v>29</v>
      </c>
      <c r="V186" s="110">
        <f>V177-V184</f>
        <v>2146.8884263132227</v>
      </c>
      <c r="W186" s="279">
        <f>V186-R186</f>
        <v>151.08603548897736</v>
      </c>
      <c r="X186" s="287">
        <f t="shared" si="34"/>
        <v>1689.0893446341738</v>
      </c>
      <c r="Y186" s="308"/>
      <c r="Z186" s="109" t="s">
        <v>29</v>
      </c>
      <c r="AA186" s="110">
        <f>AA177-AA184</f>
        <v>2211.36524617712</v>
      </c>
      <c r="AB186" s="279">
        <f>AA186-W186</f>
        <v>2060.2792106881425</v>
      </c>
      <c r="AC186" s="287">
        <f t="shared" si="36"/>
        <v>488.9253056887269</v>
      </c>
    </row>
    <row r="187" spans="1:3" ht="15.75">
      <c r="A187" s="327"/>
      <c r="B187" s="463"/>
      <c r="C187" s="464"/>
    </row>
    <row r="188" spans="1:29" ht="18">
      <c r="A188" s="327"/>
      <c r="B188" s="463"/>
      <c r="C188" s="275"/>
      <c r="D188" s="276"/>
      <c r="E188" s="76"/>
      <c r="F188" s="277"/>
      <c r="G188" s="235" t="s">
        <v>419</v>
      </c>
      <c r="H188" s="236">
        <f>H186-D186</f>
        <v>365.5807660074506</v>
      </c>
      <c r="J188" s="277"/>
      <c r="K188" s="235" t="s">
        <v>419</v>
      </c>
      <c r="L188" s="236">
        <f>L186-H186</f>
        <v>92.21831567159825</v>
      </c>
      <c r="M188" s="280" t="s">
        <v>457</v>
      </c>
      <c r="N188" s="281">
        <f>L186-D186</f>
        <v>457.79908167904887</v>
      </c>
      <c r="O188" s="277"/>
      <c r="P188" s="235" t="s">
        <v>419</v>
      </c>
      <c r="Q188" s="236">
        <f>Q186-L186</f>
        <v>130.4281703921688</v>
      </c>
      <c r="R188" s="280" t="s">
        <v>457</v>
      </c>
      <c r="S188" s="281">
        <f>Q186-D186</f>
        <v>588.2272520712177</v>
      </c>
      <c r="T188" s="277"/>
      <c r="U188" s="235" t="s">
        <v>419</v>
      </c>
      <c r="V188" s="236">
        <f>V186-L186</f>
        <v>189.2958902095479</v>
      </c>
      <c r="W188" s="280" t="s">
        <v>457</v>
      </c>
      <c r="X188" s="281">
        <f>V186-D186</f>
        <v>647.0949718885968</v>
      </c>
      <c r="Y188" s="277"/>
      <c r="Z188" s="235" t="s">
        <v>419</v>
      </c>
      <c r="AA188" s="236">
        <f>AA186-L186</f>
        <v>253.77271007344507</v>
      </c>
      <c r="AB188" s="280" t="s">
        <v>457</v>
      </c>
      <c r="AC188" s="281">
        <f>AA186-D186</f>
        <v>711.5717917524939</v>
      </c>
    </row>
    <row r="189" spans="1:29" ht="18">
      <c r="A189" s="327"/>
      <c r="B189" s="463"/>
      <c r="C189" s="275"/>
      <c r="D189" s="278"/>
      <c r="E189" s="76"/>
      <c r="F189" s="275"/>
      <c r="G189" s="235" t="s">
        <v>420</v>
      </c>
      <c r="H189" s="237">
        <f>H188/D186</f>
        <v>0.2437540748887322</v>
      </c>
      <c r="J189" s="275"/>
      <c r="K189" s="235" t="s">
        <v>420</v>
      </c>
      <c r="L189" s="237">
        <f>L188/H186</f>
        <v>0.049436898323939375</v>
      </c>
      <c r="M189" s="282" t="s">
        <v>458</v>
      </c>
      <c r="N189" s="283">
        <f>N188/D186</f>
        <v>0.30524141862899173</v>
      </c>
      <c r="O189" s="275"/>
      <c r="P189" s="235" t="s">
        <v>420</v>
      </c>
      <c r="Q189" s="237">
        <f>Q188/L186</f>
        <v>0.06662682248051914</v>
      </c>
      <c r="R189" s="282" t="s">
        <v>458</v>
      </c>
      <c r="S189" s="283">
        <f>S188/D186</f>
        <v>0.3922055069222065</v>
      </c>
      <c r="T189" s="275"/>
      <c r="U189" s="235" t="s">
        <v>420</v>
      </c>
      <c r="V189" s="237">
        <f>V188/L186</f>
        <v>0.09669831015310058</v>
      </c>
      <c r="W189" s="282" t="s">
        <v>458</v>
      </c>
      <c r="X189" s="283">
        <f>X188/D186</f>
        <v>0.43145605815225097</v>
      </c>
      <c r="Y189" s="275"/>
      <c r="Z189" s="235" t="s">
        <v>420</v>
      </c>
      <c r="AA189" s="237">
        <f>AA188/L186</f>
        <v>0.12963510301206277</v>
      </c>
      <c r="AB189" s="282" t="s">
        <v>458</v>
      </c>
      <c r="AC189" s="283">
        <f>AC188/D186</f>
        <v>0.474446524388572</v>
      </c>
    </row>
    <row r="190" spans="1:28" ht="12.75">
      <c r="A190" s="327"/>
      <c r="B190" s="12"/>
      <c r="M190" s="44" t="s">
        <v>493</v>
      </c>
      <c r="R190" s="44" t="s">
        <v>493</v>
      </c>
      <c r="W190" s="44" t="s">
        <v>493</v>
      </c>
      <c r="AB190" s="44" t="s">
        <v>493</v>
      </c>
    </row>
    <row r="191" spans="1:10" ht="12.75">
      <c r="A191" s="76"/>
      <c r="B191" s="76"/>
      <c r="C191" s="76"/>
      <c r="D191" s="76"/>
      <c r="E191" s="76"/>
      <c r="F191" s="76"/>
      <c r="G191" s="76"/>
      <c r="H191" s="15"/>
      <c r="I191" s="12"/>
      <c r="J191" s="112"/>
    </row>
    <row r="192" spans="1:10" ht="12.75">
      <c r="A192" s="76"/>
      <c r="B192" s="76"/>
      <c r="C192" s="76"/>
      <c r="D192" s="76"/>
      <c r="E192" s="76"/>
      <c r="F192" s="76"/>
      <c r="G192" s="76"/>
      <c r="H192" s="15"/>
      <c r="I192" s="12"/>
      <c r="J192" s="112"/>
    </row>
    <row r="193" spans="1:10" ht="12.75">
      <c r="A193" s="76"/>
      <c r="B193" s="460"/>
      <c r="C193" s="460"/>
      <c r="D193" s="460"/>
      <c r="E193" s="460"/>
      <c r="F193" s="460"/>
      <c r="G193" s="461"/>
      <c r="H193" s="15"/>
      <c r="I193" s="12"/>
      <c r="J193" s="112"/>
    </row>
    <row r="194" spans="1:10" ht="20.25">
      <c r="A194" s="76"/>
      <c r="B194" s="462" t="s">
        <v>30</v>
      </c>
      <c r="C194" s="207"/>
      <c r="D194" s="207"/>
      <c r="E194" s="207"/>
      <c r="F194" s="207"/>
      <c r="G194" s="207"/>
      <c r="H194" s="15"/>
      <c r="I194" s="12"/>
      <c r="J194" s="112"/>
    </row>
    <row r="195" spans="1:10" ht="13.5" thickBot="1">
      <c r="A195" s="76"/>
      <c r="B195" s="76"/>
      <c r="C195" s="76"/>
      <c r="D195" s="76"/>
      <c r="E195" s="76"/>
      <c r="F195" s="76"/>
      <c r="G195" s="76"/>
      <c r="H195" s="15"/>
      <c r="I195" s="12"/>
      <c r="J195" s="112"/>
    </row>
    <row r="196" spans="1:10" ht="16.5" thickBot="1">
      <c r="A196" s="76"/>
      <c r="B196" s="113" t="s">
        <v>31</v>
      </c>
      <c r="C196" s="43"/>
      <c r="D196" s="13">
        <v>36</v>
      </c>
      <c r="E196" s="76"/>
      <c r="F196" s="458"/>
      <c r="G196" s="76"/>
      <c r="H196" s="15"/>
      <c r="I196" s="12"/>
      <c r="J196" s="12"/>
    </row>
    <row r="197" spans="1:10" ht="16.5" thickBot="1">
      <c r="A197" s="76"/>
      <c r="B197" s="88" t="s">
        <v>15</v>
      </c>
      <c r="C197" s="43"/>
      <c r="D197" s="126">
        <v>1.2</v>
      </c>
      <c r="E197" s="318"/>
      <c r="F197" s="459"/>
      <c r="G197" s="76"/>
      <c r="H197" s="15"/>
      <c r="I197" s="12"/>
      <c r="J197" s="114"/>
    </row>
    <row r="198" spans="1:10" ht="12.75">
      <c r="A198" s="76"/>
      <c r="E198" s="76"/>
      <c r="F198" s="76"/>
      <c r="G198" s="76"/>
      <c r="H198" s="15"/>
      <c r="I198" s="12"/>
      <c r="J198" s="115"/>
    </row>
    <row r="199" spans="1:10" ht="18.75" thickBot="1">
      <c r="A199" s="76"/>
      <c r="B199" s="91" t="s">
        <v>17</v>
      </c>
      <c r="C199" s="116"/>
      <c r="D199" s="92">
        <f>D196*64.73</f>
        <v>2330.28</v>
      </c>
      <c r="E199" s="318"/>
      <c r="F199" s="76"/>
      <c r="G199" s="76"/>
      <c r="H199" s="15"/>
      <c r="I199" s="77"/>
      <c r="J199" s="117"/>
    </row>
    <row r="200" spans="1:27" ht="18">
      <c r="A200" s="76"/>
      <c r="B200" s="454"/>
      <c r="C200" s="46"/>
      <c r="D200" s="455"/>
      <c r="E200" s="76"/>
      <c r="F200" s="76"/>
      <c r="G200" s="76"/>
      <c r="H200" s="453"/>
      <c r="I200" s="77"/>
      <c r="J200" s="117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</row>
    <row r="201" spans="1:27" ht="18">
      <c r="A201" s="76"/>
      <c r="B201" s="454"/>
      <c r="C201" s="46"/>
      <c r="D201" s="455"/>
      <c r="E201" s="76"/>
      <c r="F201" s="76"/>
      <c r="G201" s="76"/>
      <c r="H201" s="453"/>
      <c r="I201" s="77"/>
      <c r="J201" s="117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</row>
    <row r="202" spans="1:27" ht="15.75">
      <c r="A202" s="320"/>
      <c r="B202" s="456" t="s">
        <v>455</v>
      </c>
      <c r="C202" s="76"/>
      <c r="D202" s="76"/>
      <c r="E202" s="76"/>
      <c r="F202" s="456" t="s">
        <v>456</v>
      </c>
      <c r="G202" s="76"/>
      <c r="H202" s="76"/>
      <c r="I202" s="76"/>
      <c r="J202" s="456" t="s">
        <v>478</v>
      </c>
      <c r="K202" s="76"/>
      <c r="L202" s="76"/>
      <c r="M202" s="76"/>
      <c r="N202" s="76"/>
      <c r="O202" s="456" t="s">
        <v>479</v>
      </c>
      <c r="P202" s="76"/>
      <c r="Q202" s="76"/>
      <c r="R202" s="76"/>
      <c r="S202" s="76"/>
      <c r="T202" s="456" t="s">
        <v>499</v>
      </c>
      <c r="U202" s="76"/>
      <c r="V202" s="76"/>
      <c r="W202" s="76"/>
      <c r="X202" s="76"/>
      <c r="Y202" s="456" t="s">
        <v>480</v>
      </c>
      <c r="Z202" s="76"/>
      <c r="AA202" s="76"/>
    </row>
    <row r="203" spans="1:29" ht="13.5" thickBot="1">
      <c r="A203" s="76"/>
      <c r="B203" s="117"/>
      <c r="C203" s="76"/>
      <c r="D203" s="76"/>
      <c r="E203" s="76"/>
      <c r="F203" s="117"/>
      <c r="G203" s="76"/>
      <c r="H203" s="76"/>
      <c r="I203" s="76"/>
      <c r="J203" s="117"/>
      <c r="K203" s="76"/>
      <c r="L203" s="76"/>
      <c r="M203" s="76" t="s">
        <v>459</v>
      </c>
      <c r="N203" s="76" t="s">
        <v>460</v>
      </c>
      <c r="O203" s="117"/>
      <c r="P203" s="76"/>
      <c r="Q203" s="76"/>
      <c r="R203" s="457" t="s">
        <v>459</v>
      </c>
      <c r="S203" s="457" t="s">
        <v>460</v>
      </c>
      <c r="T203" s="117"/>
      <c r="U203" s="76"/>
      <c r="V203" s="76"/>
      <c r="W203" s="76" t="s">
        <v>459</v>
      </c>
      <c r="X203" s="76" t="s">
        <v>460</v>
      </c>
      <c r="Y203" s="117"/>
      <c r="Z203" s="76"/>
      <c r="AA203" s="76"/>
      <c r="AB203" s="11" t="s">
        <v>459</v>
      </c>
      <c r="AC203" s="11" t="s">
        <v>460</v>
      </c>
    </row>
    <row r="204" spans="1:29" ht="12.75">
      <c r="A204" s="76"/>
      <c r="B204" s="292">
        <v>400</v>
      </c>
      <c r="C204" s="293" t="s">
        <v>19</v>
      </c>
      <c r="D204" s="294">
        <f>puntotalhorasmed*indicesep07*0.82</f>
        <v>945.8606520000001</v>
      </c>
      <c r="E204" s="238"/>
      <c r="F204" s="292">
        <v>400</v>
      </c>
      <c r="G204" s="293" t="s">
        <v>19</v>
      </c>
      <c r="H204" s="294">
        <f>puntotalhorasmed*indicemar08*0.82</f>
        <v>1127.3894639999999</v>
      </c>
      <c r="I204" s="238">
        <f>H204-D204</f>
        <v>181.5288119999998</v>
      </c>
      <c r="J204" s="292">
        <v>400</v>
      </c>
      <c r="K204" s="293" t="s">
        <v>19</v>
      </c>
      <c r="L204" s="294">
        <f>puntotalhorasmed*indicejul08*0.82</f>
        <v>1203.822648</v>
      </c>
      <c r="M204" s="238">
        <f aca="true" t="shared" si="37" ref="M204:M210">L204-H204</f>
        <v>76.43318400000021</v>
      </c>
      <c r="N204" s="190">
        <f>L204-D204</f>
        <v>257.961996</v>
      </c>
      <c r="O204" s="292">
        <v>400</v>
      </c>
      <c r="P204" s="293" t="s">
        <v>19</v>
      </c>
      <c r="Q204" s="294">
        <f>puntotalhorasmed*indiceago08*0.82</f>
        <v>1247.7717288000001</v>
      </c>
      <c r="R204" s="414">
        <f aca="true" t="shared" si="38" ref="R204:R218">Q204-M204</f>
        <v>1171.3385448</v>
      </c>
      <c r="S204" s="415">
        <f>Q204-I204</f>
        <v>1066.2429168000003</v>
      </c>
      <c r="T204" s="292">
        <v>400</v>
      </c>
      <c r="U204" s="293" t="s">
        <v>19</v>
      </c>
      <c r="V204" s="294">
        <f>puntotalhorasmed*indiceoct08*0.82</f>
        <v>1289.8099800000002</v>
      </c>
      <c r="W204" s="238">
        <f aca="true" t="shared" si="39" ref="W204:W218">V204-R204</f>
        <v>118.47143520000031</v>
      </c>
      <c r="X204" s="190">
        <f>V204-N204</f>
        <v>1031.8479840000002</v>
      </c>
      <c r="Y204" s="292">
        <v>400</v>
      </c>
      <c r="Z204" s="293" t="s">
        <v>19</v>
      </c>
      <c r="AA204" s="294">
        <f>puntotalhorasmed*indicedic08*0.82</f>
        <v>1339.8737155200001</v>
      </c>
      <c r="AB204" s="238">
        <f aca="true" t="shared" si="40" ref="AB204:AB218">AA204-W204</f>
        <v>1221.4022803199998</v>
      </c>
      <c r="AC204" s="190">
        <f>AA204-S204</f>
        <v>273.6307987199998</v>
      </c>
    </row>
    <row r="205" spans="1:29" ht="12.75">
      <c r="A205" s="76"/>
      <c r="B205" s="295">
        <v>406</v>
      </c>
      <c r="C205" s="18" t="s">
        <v>20</v>
      </c>
      <c r="D205" s="296">
        <f>D204*porcantighorasmed</f>
        <v>1135.0327824</v>
      </c>
      <c r="E205" s="238"/>
      <c r="F205" s="295">
        <v>406</v>
      </c>
      <c r="G205" s="18" t="s">
        <v>20</v>
      </c>
      <c r="H205" s="296">
        <f>H204*porcantighorasmed</f>
        <v>1352.8673567999997</v>
      </c>
      <c r="I205" s="238">
        <f aca="true" t="shared" si="41" ref="I205:I218">H205-D205</f>
        <v>217.8345743999996</v>
      </c>
      <c r="J205" s="295">
        <v>406</v>
      </c>
      <c r="K205" s="18" t="s">
        <v>20</v>
      </c>
      <c r="L205" s="296">
        <f>L204*porcantighorasmed</f>
        <v>1444.5871776000001</v>
      </c>
      <c r="M205" s="238">
        <f t="shared" si="37"/>
        <v>91.71982080000043</v>
      </c>
      <c r="N205" s="190">
        <f aca="true" t="shared" si="42" ref="N205:N218">L205-D205</f>
        <v>309.55439520000004</v>
      </c>
      <c r="O205" s="295">
        <v>406</v>
      </c>
      <c r="P205" s="18" t="s">
        <v>20</v>
      </c>
      <c r="Q205" s="296">
        <f>Q204*porcantighorasmed</f>
        <v>1497.32607456</v>
      </c>
      <c r="R205" s="414">
        <f t="shared" si="38"/>
        <v>1405.6062537599996</v>
      </c>
      <c r="S205" s="415">
        <f aca="true" t="shared" si="43" ref="S205:S216">Q205-I205</f>
        <v>1279.4915001600004</v>
      </c>
      <c r="T205" s="295">
        <v>406</v>
      </c>
      <c r="U205" s="18" t="s">
        <v>20</v>
      </c>
      <c r="V205" s="296">
        <f>V204*porcantighorasmed</f>
        <v>1547.7719760000002</v>
      </c>
      <c r="W205" s="238">
        <f t="shared" si="39"/>
        <v>142.1657222400006</v>
      </c>
      <c r="X205" s="190">
        <f aca="true" t="shared" si="44" ref="X205:X216">V205-N205</f>
        <v>1238.2175808000002</v>
      </c>
      <c r="Y205" s="295">
        <v>406</v>
      </c>
      <c r="Z205" s="18" t="s">
        <v>20</v>
      </c>
      <c r="AA205" s="296">
        <f>AA204*porcantighorasmed</f>
        <v>1607.8484586240002</v>
      </c>
      <c r="AB205" s="238">
        <f t="shared" si="40"/>
        <v>1465.6827363839996</v>
      </c>
      <c r="AC205" s="190">
        <f aca="true" t="shared" si="45" ref="AC205:AC216">AA205-S205</f>
        <v>328.3569584639997</v>
      </c>
    </row>
    <row r="206" spans="1:29" ht="12.75">
      <c r="A206" s="453"/>
      <c r="B206" s="295">
        <v>432</v>
      </c>
      <c r="C206" s="18" t="s">
        <v>364</v>
      </c>
      <c r="D206" s="297">
        <f>IF(numhorasmed&gt;20,188,cod06medsep07*D196)*0.82</f>
        <v>154.16</v>
      </c>
      <c r="E206" s="238"/>
      <c r="F206" s="295">
        <v>432</v>
      </c>
      <c r="G206" s="18" t="s">
        <v>364</v>
      </c>
      <c r="H206" s="297">
        <f>IF(numhorasmed&gt;30,282,cod06medsep07*numhorasmed)*0.82</f>
        <v>231.23999999999998</v>
      </c>
      <c r="I206" s="238">
        <f t="shared" si="41"/>
        <v>77.07999999999998</v>
      </c>
      <c r="J206" s="295">
        <v>432</v>
      </c>
      <c r="K206" s="18" t="s">
        <v>364</v>
      </c>
      <c r="L206" s="297">
        <f>IF(numhorasmed&gt;30,282,cod06medsep07*numhorasmed)*0.82</f>
        <v>231.23999999999998</v>
      </c>
      <c r="M206" s="238">
        <f t="shared" si="37"/>
        <v>0</v>
      </c>
      <c r="N206" s="190">
        <f t="shared" si="42"/>
        <v>77.07999999999998</v>
      </c>
      <c r="O206" s="295">
        <v>432</v>
      </c>
      <c r="P206" s="18" t="s">
        <v>364</v>
      </c>
      <c r="Q206" s="297">
        <f>IF(numhorasmed&gt;30,282,cod06medsep07*numhorasmed)*0.82</f>
        <v>231.23999999999998</v>
      </c>
      <c r="R206" s="414">
        <f t="shared" si="38"/>
        <v>231.23999999999998</v>
      </c>
      <c r="S206" s="415">
        <f t="shared" si="43"/>
        <v>154.16</v>
      </c>
      <c r="T206" s="295">
        <v>432</v>
      </c>
      <c r="U206" s="18" t="s">
        <v>364</v>
      </c>
      <c r="V206" s="297">
        <f>IF(numhorasmed&gt;30,282,cod06medsep07*numhorasmed)*0.82</f>
        <v>231.23999999999998</v>
      </c>
      <c r="W206" s="238">
        <f t="shared" si="39"/>
        <v>0</v>
      </c>
      <c r="X206" s="190">
        <f t="shared" si="44"/>
        <v>154.16</v>
      </c>
      <c r="Y206" s="295">
        <v>432</v>
      </c>
      <c r="Z206" s="18" t="s">
        <v>364</v>
      </c>
      <c r="AA206" s="297">
        <f>IF(numhorasmed&gt;30,282,cod06medsep07*numhorasmed)*0.82</f>
        <v>231.23999999999998</v>
      </c>
      <c r="AB206" s="238">
        <f t="shared" si="40"/>
        <v>231.23999999999998</v>
      </c>
      <c r="AC206" s="190">
        <f t="shared" si="45"/>
        <v>77.07999999999998</v>
      </c>
    </row>
    <row r="207" spans="1:29" ht="12.75">
      <c r="A207" s="453"/>
      <c r="B207" s="295">
        <v>434</v>
      </c>
      <c r="C207" s="18" t="s">
        <v>360</v>
      </c>
      <c r="D207" s="296">
        <f>(D204+D205+D206)*0.07*0.95</f>
        <v>148.6310533876</v>
      </c>
      <c r="E207" s="238"/>
      <c r="F207" s="295">
        <v>434</v>
      </c>
      <c r="G207" s="18" t="s">
        <v>360</v>
      </c>
      <c r="H207" s="296">
        <f>(H204+H205+H206)*0.07*0.95</f>
        <v>180.31453858319995</v>
      </c>
      <c r="I207" s="238">
        <f t="shared" si="41"/>
        <v>31.683485195599957</v>
      </c>
      <c r="J207" s="295">
        <v>434</v>
      </c>
      <c r="K207" s="18" t="s">
        <v>360</v>
      </c>
      <c r="L207" s="296">
        <f>(L204+L205+L206)*0.07*0.95</f>
        <v>191.49671340240002</v>
      </c>
      <c r="M207" s="238">
        <f t="shared" si="37"/>
        <v>11.182174819200071</v>
      </c>
      <c r="N207" s="190">
        <f t="shared" si="42"/>
        <v>42.86566001480003</v>
      </c>
      <c r="O207" s="295">
        <v>434</v>
      </c>
      <c r="P207" s="18" t="s">
        <v>360</v>
      </c>
      <c r="Q207" s="296">
        <f>(Q204+Q205+Q206)*0.07*0.95</f>
        <v>197.92646392344002</v>
      </c>
      <c r="R207" s="414">
        <f t="shared" si="38"/>
        <v>186.74428910423995</v>
      </c>
      <c r="S207" s="415">
        <f t="shared" si="43"/>
        <v>166.24297872784007</v>
      </c>
      <c r="T207" s="295">
        <v>434</v>
      </c>
      <c r="U207" s="18" t="s">
        <v>360</v>
      </c>
      <c r="V207" s="296">
        <f>(V204+V205+V206)*0.07*0.95</f>
        <v>204.07666007400002</v>
      </c>
      <c r="W207" s="238">
        <f t="shared" si="39"/>
        <v>17.332370969760063</v>
      </c>
      <c r="X207" s="190">
        <f t="shared" si="44"/>
        <v>161.2110000592</v>
      </c>
      <c r="Y207" s="295">
        <v>434</v>
      </c>
      <c r="Z207" s="18" t="s">
        <v>360</v>
      </c>
      <c r="AA207" s="296">
        <f>(AA204+AA205+AA206)*0.07*0.95</f>
        <v>211.40098458057602</v>
      </c>
      <c r="AB207" s="238">
        <f t="shared" si="40"/>
        <v>194.06861361081596</v>
      </c>
      <c r="AC207" s="190">
        <f t="shared" si="45"/>
        <v>45.158005852735954</v>
      </c>
    </row>
    <row r="208" spans="1:29" ht="13.5" thickBot="1">
      <c r="A208" s="453"/>
      <c r="B208" s="295"/>
      <c r="C208" s="96" t="s">
        <v>381</v>
      </c>
      <c r="D208" s="298">
        <v>0</v>
      </c>
      <c r="E208" s="238"/>
      <c r="F208" s="295"/>
      <c r="G208" s="96" t="s">
        <v>381</v>
      </c>
      <c r="H208" s="309">
        <f>D208</f>
        <v>0</v>
      </c>
      <c r="I208" s="238">
        <f t="shared" si="41"/>
        <v>0</v>
      </c>
      <c r="J208" s="295"/>
      <c r="K208" s="96" t="s">
        <v>381</v>
      </c>
      <c r="L208" s="309">
        <f>H208</f>
        <v>0</v>
      </c>
      <c r="M208" s="238">
        <f t="shared" si="37"/>
        <v>0</v>
      </c>
      <c r="N208" s="190">
        <f t="shared" si="42"/>
        <v>0</v>
      </c>
      <c r="O208" s="295"/>
      <c r="P208" s="96" t="s">
        <v>381</v>
      </c>
      <c r="Q208" s="309">
        <f>M208</f>
        <v>0</v>
      </c>
      <c r="R208" s="414">
        <f t="shared" si="38"/>
        <v>0</v>
      </c>
      <c r="S208" s="415">
        <f t="shared" si="43"/>
        <v>0</v>
      </c>
      <c r="T208" s="295"/>
      <c r="U208" s="96" t="s">
        <v>381</v>
      </c>
      <c r="V208" s="309">
        <f>R208</f>
        <v>0</v>
      </c>
      <c r="W208" s="238">
        <f t="shared" si="39"/>
        <v>0</v>
      </c>
      <c r="X208" s="190">
        <f t="shared" si="44"/>
        <v>0</v>
      </c>
      <c r="Y208" s="295"/>
      <c r="Z208" s="96" t="s">
        <v>381</v>
      </c>
      <c r="AA208" s="309">
        <f>W208</f>
        <v>0</v>
      </c>
      <c r="AB208" s="238">
        <f t="shared" si="40"/>
        <v>0</v>
      </c>
      <c r="AC208" s="190">
        <f t="shared" si="45"/>
        <v>0</v>
      </c>
    </row>
    <row r="209" spans="1:29" ht="13.5" thickBot="1">
      <c r="A209" s="453"/>
      <c r="B209" s="299"/>
      <c r="C209" s="98" t="s">
        <v>21</v>
      </c>
      <c r="D209" s="118">
        <f>SUM(D204:D208)</f>
        <v>2383.6844877875997</v>
      </c>
      <c r="E209" s="238"/>
      <c r="F209" s="299"/>
      <c r="G209" s="98" t="s">
        <v>21</v>
      </c>
      <c r="H209" s="118">
        <f>SUM(H204:H208)</f>
        <v>2891.811359383199</v>
      </c>
      <c r="I209" s="245">
        <f t="shared" si="41"/>
        <v>508.12687159559937</v>
      </c>
      <c r="J209" s="299"/>
      <c r="K209" s="98" t="s">
        <v>21</v>
      </c>
      <c r="L209" s="118">
        <f>SUM(L204:L208)</f>
        <v>3071.1465390024</v>
      </c>
      <c r="M209" s="245">
        <f t="shared" si="37"/>
        <v>179.33517961920097</v>
      </c>
      <c r="N209" s="288">
        <f t="shared" si="42"/>
        <v>687.4620512148003</v>
      </c>
      <c r="O209" s="299"/>
      <c r="P209" s="98" t="s">
        <v>21</v>
      </c>
      <c r="Q209" s="118">
        <f>SUM(Q204:Q208)</f>
        <v>3174.2642672834404</v>
      </c>
      <c r="R209" s="416">
        <f t="shared" si="38"/>
        <v>2994.9290876642394</v>
      </c>
      <c r="S209" s="417">
        <f t="shared" si="43"/>
        <v>2666.137395687841</v>
      </c>
      <c r="T209" s="299"/>
      <c r="U209" s="98" t="s">
        <v>21</v>
      </c>
      <c r="V209" s="118">
        <f>SUM(V204:V208)</f>
        <v>3272.898616074</v>
      </c>
      <c r="W209" s="245">
        <f t="shared" si="39"/>
        <v>277.96952840976064</v>
      </c>
      <c r="X209" s="288">
        <f t="shared" si="44"/>
        <v>2585.4365648591997</v>
      </c>
      <c r="Y209" s="299"/>
      <c r="Z209" s="98" t="s">
        <v>21</v>
      </c>
      <c r="AA209" s="118">
        <f>SUM(AA204:AA208)</f>
        <v>3390.363158724576</v>
      </c>
      <c r="AB209" s="245">
        <f t="shared" si="40"/>
        <v>3112.3936303148153</v>
      </c>
      <c r="AC209" s="288">
        <f t="shared" si="45"/>
        <v>724.2257630367349</v>
      </c>
    </row>
    <row r="210" spans="1:29" ht="12.75">
      <c r="A210" s="453"/>
      <c r="B210" s="295">
        <v>703</v>
      </c>
      <c r="C210" s="100" t="s">
        <v>22</v>
      </c>
      <c r="D210" s="300">
        <f>(D209-D208)*0.0025</f>
        <v>5.959211219468999</v>
      </c>
      <c r="E210" s="119"/>
      <c r="F210" s="295">
        <v>703</v>
      </c>
      <c r="G210" s="100" t="s">
        <v>22</v>
      </c>
      <c r="H210" s="300">
        <f>(H209-H208)*0.0025</f>
        <v>7.229528398457997</v>
      </c>
      <c r="I210" s="15">
        <f t="shared" si="41"/>
        <v>1.2703171789889982</v>
      </c>
      <c r="J210" s="295">
        <v>703</v>
      </c>
      <c r="K210" s="100" t="s">
        <v>22</v>
      </c>
      <c r="L210" s="300">
        <f>(L209-L208)*0.0025</f>
        <v>7.677866347506</v>
      </c>
      <c r="M210" s="15">
        <f t="shared" si="37"/>
        <v>0.4483379490480024</v>
      </c>
      <c r="N210" s="289">
        <f t="shared" si="42"/>
        <v>1.7186551280370006</v>
      </c>
      <c r="O210" s="295">
        <v>703</v>
      </c>
      <c r="P210" s="100" t="s">
        <v>22</v>
      </c>
      <c r="Q210" s="300">
        <f>(Q209-Q208)*0.0025</f>
        <v>7.935660668208601</v>
      </c>
      <c r="R210" s="418">
        <f t="shared" si="38"/>
        <v>7.487322719160598</v>
      </c>
      <c r="S210" s="419">
        <f t="shared" si="43"/>
        <v>6.665343489219603</v>
      </c>
      <c r="T210" s="295">
        <v>703</v>
      </c>
      <c r="U210" s="100" t="s">
        <v>22</v>
      </c>
      <c r="V210" s="300">
        <f>(V209-V208)*0.0025</f>
        <v>8.182246540185</v>
      </c>
      <c r="W210" s="15">
        <f t="shared" si="39"/>
        <v>0.6949238210244015</v>
      </c>
      <c r="X210" s="289">
        <f t="shared" si="44"/>
        <v>6.463591412147999</v>
      </c>
      <c r="Y210" s="295">
        <v>703</v>
      </c>
      <c r="Z210" s="100" t="s">
        <v>22</v>
      </c>
      <c r="AA210" s="300">
        <f>(AA209-AA208)*0.0025</f>
        <v>8.47590789681144</v>
      </c>
      <c r="AB210" s="15">
        <f t="shared" si="40"/>
        <v>7.780984075787039</v>
      </c>
      <c r="AC210" s="289">
        <f t="shared" si="45"/>
        <v>1.810564407591838</v>
      </c>
    </row>
    <row r="211" spans="1:29" ht="12.75">
      <c r="A211" s="76"/>
      <c r="B211" s="301">
        <v>707</v>
      </c>
      <c r="C211" s="102" t="s">
        <v>23</v>
      </c>
      <c r="D211" s="302">
        <f>(D209-D208)*0.03</f>
        <v>71.51053463362798</v>
      </c>
      <c r="E211" s="119"/>
      <c r="F211" s="301">
        <v>707</v>
      </c>
      <c r="G211" s="102" t="s">
        <v>23</v>
      </c>
      <c r="H211" s="302">
        <f>(H209-H208)*0.03</f>
        <v>86.75434078149597</v>
      </c>
      <c r="I211" s="15">
        <f t="shared" si="41"/>
        <v>15.243806147867986</v>
      </c>
      <c r="J211" s="301">
        <v>707</v>
      </c>
      <c r="K211" s="102" t="s">
        <v>23</v>
      </c>
      <c r="L211" s="302">
        <f>(L209-L208)*0.03</f>
        <v>92.134396170072</v>
      </c>
      <c r="M211" s="15">
        <f aca="true" t="shared" si="46" ref="M211:M218">L211-H211</f>
        <v>5.380055388576025</v>
      </c>
      <c r="N211" s="289">
        <f t="shared" si="42"/>
        <v>20.62386153644401</v>
      </c>
      <c r="O211" s="301">
        <v>707</v>
      </c>
      <c r="P211" s="102" t="s">
        <v>23</v>
      </c>
      <c r="Q211" s="302">
        <f>(Q209-Q208)*0.03</f>
        <v>95.2279280185032</v>
      </c>
      <c r="R211" s="418">
        <f t="shared" si="38"/>
        <v>89.84787262992718</v>
      </c>
      <c r="S211" s="419">
        <f t="shared" si="43"/>
        <v>79.98412187063522</v>
      </c>
      <c r="T211" s="301">
        <v>707</v>
      </c>
      <c r="U211" s="102" t="s">
        <v>23</v>
      </c>
      <c r="V211" s="302">
        <f>(V209-V208)*0.03</f>
        <v>98.18695848221999</v>
      </c>
      <c r="W211" s="15">
        <f t="shared" si="39"/>
        <v>8.339085852292811</v>
      </c>
      <c r="X211" s="289">
        <f t="shared" si="44"/>
        <v>77.56309694577598</v>
      </c>
      <c r="Y211" s="301">
        <v>707</v>
      </c>
      <c r="Z211" s="102" t="s">
        <v>23</v>
      </c>
      <c r="AA211" s="302">
        <f>(AA209-AA208)*0.03</f>
        <v>101.71089476173728</v>
      </c>
      <c r="AB211" s="15">
        <f t="shared" si="40"/>
        <v>93.37180890944447</v>
      </c>
      <c r="AC211" s="289">
        <f t="shared" si="45"/>
        <v>21.72677289110206</v>
      </c>
    </row>
    <row r="212" spans="1:29" ht="12.75">
      <c r="A212" s="191"/>
      <c r="B212" s="301">
        <v>709</v>
      </c>
      <c r="C212" s="102" t="s">
        <v>24</v>
      </c>
      <c r="D212" s="302">
        <f>(D209-D208)*0.0213</f>
        <v>50.77247958987587</v>
      </c>
      <c r="E212" s="119"/>
      <c r="F212" s="301">
        <v>709</v>
      </c>
      <c r="G212" s="102" t="s">
        <v>24</v>
      </c>
      <c r="H212" s="302">
        <f>(H209-H208)*0.0213</f>
        <v>61.59558195486214</v>
      </c>
      <c r="I212" s="15">
        <f t="shared" si="41"/>
        <v>10.82310236498627</v>
      </c>
      <c r="J212" s="301">
        <v>709</v>
      </c>
      <c r="K212" s="102" t="s">
        <v>24</v>
      </c>
      <c r="L212" s="302">
        <f>(L209-L208)*0.0213</f>
        <v>65.41542128075112</v>
      </c>
      <c r="M212" s="15">
        <f t="shared" si="46"/>
        <v>3.819839325888978</v>
      </c>
      <c r="N212" s="289">
        <f t="shared" si="42"/>
        <v>14.642941690875247</v>
      </c>
      <c r="O212" s="301">
        <v>709</v>
      </c>
      <c r="P212" s="102" t="s">
        <v>24</v>
      </c>
      <c r="Q212" s="302">
        <f>(Q209-Q208)*0.0213</f>
        <v>67.61182889313729</v>
      </c>
      <c r="R212" s="418">
        <f t="shared" si="38"/>
        <v>63.79198956724831</v>
      </c>
      <c r="S212" s="419">
        <f t="shared" si="43"/>
        <v>56.78872652815102</v>
      </c>
      <c r="T212" s="301">
        <v>709</v>
      </c>
      <c r="U212" s="102" t="s">
        <v>24</v>
      </c>
      <c r="V212" s="302">
        <f>(V209-V208)*0.0213</f>
        <v>69.7127405223762</v>
      </c>
      <c r="W212" s="15">
        <f t="shared" si="39"/>
        <v>5.920750955127886</v>
      </c>
      <c r="X212" s="289">
        <f t="shared" si="44"/>
        <v>55.06979883150095</v>
      </c>
      <c r="Y212" s="301">
        <v>709</v>
      </c>
      <c r="Z212" s="102" t="s">
        <v>24</v>
      </c>
      <c r="AA212" s="302">
        <f>(AA209-AA208)*0.0213</f>
        <v>72.21473528083347</v>
      </c>
      <c r="AB212" s="15">
        <f t="shared" si="40"/>
        <v>66.29398432570558</v>
      </c>
      <c r="AC212" s="289">
        <f t="shared" si="45"/>
        <v>15.42600875268245</v>
      </c>
    </row>
    <row r="213" spans="1:29" ht="12.75">
      <c r="A213" s="191"/>
      <c r="B213" s="303">
        <v>710</v>
      </c>
      <c r="C213" s="102" t="s">
        <v>25</v>
      </c>
      <c r="D213" s="310">
        <f>(D209-D208)*0.00754</f>
        <v>17.9729810379185</v>
      </c>
      <c r="E213" s="119"/>
      <c r="F213" s="303">
        <v>710</v>
      </c>
      <c r="G213" s="102" t="s">
        <v>25</v>
      </c>
      <c r="H213" s="310">
        <f>(H209-H208)*0.00754</f>
        <v>21.80425764974932</v>
      </c>
      <c r="I213" s="15">
        <f t="shared" si="41"/>
        <v>3.8312766118308197</v>
      </c>
      <c r="J213" s="303">
        <v>710</v>
      </c>
      <c r="K213" s="102" t="s">
        <v>25</v>
      </c>
      <c r="L213" s="310">
        <f>(L209-L208)*0.00754</f>
        <v>23.156444904078096</v>
      </c>
      <c r="M213" s="15">
        <f t="shared" si="46"/>
        <v>1.3521872543287756</v>
      </c>
      <c r="N213" s="289">
        <f t="shared" si="42"/>
        <v>5.183463866159595</v>
      </c>
      <c r="O213" s="303">
        <v>710</v>
      </c>
      <c r="P213" s="102" t="s">
        <v>25</v>
      </c>
      <c r="Q213" s="310">
        <f>(Q209-Q208)*0.00754</f>
        <v>23.93395257531714</v>
      </c>
      <c r="R213" s="418">
        <f t="shared" si="38"/>
        <v>22.581765320988364</v>
      </c>
      <c r="S213" s="419">
        <f t="shared" si="43"/>
        <v>20.10267596348632</v>
      </c>
      <c r="T213" s="303">
        <v>710</v>
      </c>
      <c r="U213" s="102" t="s">
        <v>25</v>
      </c>
      <c r="V213" s="310">
        <f>(V209-V208)*0.00754</f>
        <v>24.67765556519796</v>
      </c>
      <c r="W213" s="15">
        <f t="shared" si="39"/>
        <v>2.0958902442095955</v>
      </c>
      <c r="X213" s="289">
        <f t="shared" si="44"/>
        <v>19.494191699038364</v>
      </c>
      <c r="Y213" s="303">
        <v>710</v>
      </c>
      <c r="Z213" s="102" t="s">
        <v>25</v>
      </c>
      <c r="AA213" s="310">
        <f>(AA209-AA208)*0.00754</f>
        <v>25.5633382167833</v>
      </c>
      <c r="AB213" s="15">
        <f t="shared" si="40"/>
        <v>23.467447972573705</v>
      </c>
      <c r="AC213" s="289">
        <f t="shared" si="45"/>
        <v>5.460662253296981</v>
      </c>
    </row>
    <row r="214" spans="1:29" ht="12.75">
      <c r="A214" s="191"/>
      <c r="B214" s="303">
        <v>713</v>
      </c>
      <c r="C214" s="102" t="s">
        <v>26</v>
      </c>
      <c r="D214" s="302">
        <f>(D209-D208)*0.007</f>
        <v>16.685791414513197</v>
      </c>
      <c r="E214" s="119"/>
      <c r="F214" s="303">
        <v>713</v>
      </c>
      <c r="G214" s="102" t="s">
        <v>26</v>
      </c>
      <c r="H214" s="302">
        <f>(H209-H208)*0.007</f>
        <v>20.242679515682394</v>
      </c>
      <c r="I214" s="15">
        <f t="shared" si="41"/>
        <v>3.5568881011691964</v>
      </c>
      <c r="J214" s="303">
        <v>713</v>
      </c>
      <c r="K214" s="102" t="s">
        <v>26</v>
      </c>
      <c r="L214" s="302">
        <f>(L209-L208)*0.007</f>
        <v>21.4980257730168</v>
      </c>
      <c r="M214" s="15">
        <f t="shared" si="46"/>
        <v>1.2553462573344056</v>
      </c>
      <c r="N214" s="289">
        <f t="shared" si="42"/>
        <v>4.812234358503602</v>
      </c>
      <c r="O214" s="303">
        <v>713</v>
      </c>
      <c r="P214" s="102" t="s">
        <v>26</v>
      </c>
      <c r="Q214" s="302">
        <f>(Q209-Q208)*0.007</f>
        <v>22.219849870984085</v>
      </c>
      <c r="R214" s="418">
        <f t="shared" si="38"/>
        <v>20.96450361364968</v>
      </c>
      <c r="S214" s="419">
        <f t="shared" si="43"/>
        <v>18.66296176981489</v>
      </c>
      <c r="T214" s="303">
        <v>713</v>
      </c>
      <c r="U214" s="102" t="s">
        <v>26</v>
      </c>
      <c r="V214" s="302">
        <f>(V209-V208)*0.007</f>
        <v>22.910290312518</v>
      </c>
      <c r="W214" s="15">
        <f t="shared" si="39"/>
        <v>1.9457866988683215</v>
      </c>
      <c r="X214" s="289">
        <f t="shared" si="44"/>
        <v>18.0980559540144</v>
      </c>
      <c r="Y214" s="303">
        <v>713</v>
      </c>
      <c r="Z214" s="102" t="s">
        <v>26</v>
      </c>
      <c r="AA214" s="302">
        <f>(AA209-AA208)*0.007</f>
        <v>23.732542111072032</v>
      </c>
      <c r="AB214" s="15">
        <f t="shared" si="40"/>
        <v>21.78675541220371</v>
      </c>
      <c r="AC214" s="289">
        <f t="shared" si="45"/>
        <v>5.069580341257144</v>
      </c>
    </row>
    <row r="215" spans="1:29" ht="13.5" thickBot="1">
      <c r="A215" s="192"/>
      <c r="B215" s="303"/>
      <c r="C215" s="103" t="s">
        <v>27</v>
      </c>
      <c r="D215" s="304">
        <v>0</v>
      </c>
      <c r="E215" s="119"/>
      <c r="F215" s="303"/>
      <c r="G215" s="103" t="s">
        <v>27</v>
      </c>
      <c r="H215" s="311">
        <f>D215</f>
        <v>0</v>
      </c>
      <c r="I215" s="15">
        <f t="shared" si="41"/>
        <v>0</v>
      </c>
      <c r="J215" s="303"/>
      <c r="K215" s="103" t="s">
        <v>27</v>
      </c>
      <c r="L215" s="311">
        <f>H215</f>
        <v>0</v>
      </c>
      <c r="M215" s="15">
        <f t="shared" si="46"/>
        <v>0</v>
      </c>
      <c r="N215" s="289">
        <f t="shared" si="42"/>
        <v>0</v>
      </c>
      <c r="O215" s="303"/>
      <c r="P215" s="103" t="s">
        <v>27</v>
      </c>
      <c r="Q215" s="311">
        <f>M215</f>
        <v>0</v>
      </c>
      <c r="R215" s="418">
        <f t="shared" si="38"/>
        <v>0</v>
      </c>
      <c r="S215" s="419">
        <f t="shared" si="43"/>
        <v>0</v>
      </c>
      <c r="T215" s="303"/>
      <c r="U215" s="103" t="s">
        <v>27</v>
      </c>
      <c r="V215" s="311">
        <f>R215</f>
        <v>0</v>
      </c>
      <c r="W215" s="15">
        <f t="shared" si="39"/>
        <v>0</v>
      </c>
      <c r="X215" s="289">
        <f t="shared" si="44"/>
        <v>0</v>
      </c>
      <c r="Y215" s="303"/>
      <c r="Z215" s="103" t="s">
        <v>27</v>
      </c>
      <c r="AA215" s="311">
        <f>W215</f>
        <v>0</v>
      </c>
      <c r="AB215" s="15">
        <f t="shared" si="40"/>
        <v>0</v>
      </c>
      <c r="AC215" s="289">
        <f t="shared" si="45"/>
        <v>0</v>
      </c>
    </row>
    <row r="216" spans="1:29" ht="13.5" thickBot="1">
      <c r="A216" s="453"/>
      <c r="B216" s="305"/>
      <c r="C216" s="98" t="s">
        <v>28</v>
      </c>
      <c r="D216" s="120">
        <f>SUM(D210:D215)</f>
        <v>162.90099789540457</v>
      </c>
      <c r="E216" s="119"/>
      <c r="F216" s="305"/>
      <c r="G216" s="98" t="s">
        <v>28</v>
      </c>
      <c r="H216" s="120">
        <f>SUM(H210:H215)</f>
        <v>197.62638830024784</v>
      </c>
      <c r="I216" s="15">
        <f t="shared" si="41"/>
        <v>34.72539040484327</v>
      </c>
      <c r="J216" s="305"/>
      <c r="K216" s="98" t="s">
        <v>28</v>
      </c>
      <c r="L216" s="120">
        <f>SUM(L210:L215)</f>
        <v>209.882154475424</v>
      </c>
      <c r="M216" s="15">
        <f t="shared" si="46"/>
        <v>12.255766175176149</v>
      </c>
      <c r="N216" s="289">
        <f t="shared" si="42"/>
        <v>46.981156580019416</v>
      </c>
      <c r="O216" s="305"/>
      <c r="P216" s="98" t="s">
        <v>28</v>
      </c>
      <c r="Q216" s="120">
        <f>SUM(Q210:Q215)</f>
        <v>216.92922002615032</v>
      </c>
      <c r="R216" s="418">
        <f t="shared" si="38"/>
        <v>204.67345385097417</v>
      </c>
      <c r="S216" s="419">
        <f t="shared" si="43"/>
        <v>182.20382962130705</v>
      </c>
      <c r="T216" s="305"/>
      <c r="U216" s="98" t="s">
        <v>28</v>
      </c>
      <c r="V216" s="120">
        <f>SUM(V210:V215)</f>
        <v>223.6698914224972</v>
      </c>
      <c r="W216" s="15">
        <f t="shared" si="39"/>
        <v>18.996437571523018</v>
      </c>
      <c r="X216" s="289">
        <f t="shared" si="44"/>
        <v>176.68873484247777</v>
      </c>
      <c r="Y216" s="305"/>
      <c r="Z216" s="98" t="s">
        <v>28</v>
      </c>
      <c r="AA216" s="120">
        <f>SUM(AA210:AA215)</f>
        <v>231.69741826723754</v>
      </c>
      <c r="AB216" s="15">
        <f t="shared" si="40"/>
        <v>212.70098069571452</v>
      </c>
      <c r="AC216" s="289">
        <f t="shared" si="45"/>
        <v>49.49358864593049</v>
      </c>
    </row>
    <row r="217" spans="1:29" ht="13.5" thickBot="1">
      <c r="A217" s="453"/>
      <c r="B217" s="306"/>
      <c r="C217" s="106"/>
      <c r="D217" s="307"/>
      <c r="E217" s="119"/>
      <c r="F217" s="306"/>
      <c r="G217" s="106"/>
      <c r="H217" s="307"/>
      <c r="I217" s="15">
        <f t="shared" si="41"/>
        <v>0</v>
      </c>
      <c r="J217" s="306"/>
      <c r="K217" s="106"/>
      <c r="L217" s="307"/>
      <c r="M217" s="15">
        <f t="shared" si="46"/>
        <v>0</v>
      </c>
      <c r="N217" s="190"/>
      <c r="O217" s="306"/>
      <c r="P217" s="106"/>
      <c r="Q217" s="307"/>
      <c r="R217" s="418">
        <f t="shared" si="38"/>
        <v>0</v>
      </c>
      <c r="S217" s="415"/>
      <c r="T217" s="306"/>
      <c r="U217" s="106"/>
      <c r="V217" s="307"/>
      <c r="W217" s="15">
        <f t="shared" si="39"/>
        <v>0</v>
      </c>
      <c r="X217" s="190"/>
      <c r="Y217" s="306"/>
      <c r="Z217" s="106"/>
      <c r="AA217" s="307"/>
      <c r="AB217" s="15">
        <f t="shared" si="40"/>
        <v>0</v>
      </c>
      <c r="AC217" s="190"/>
    </row>
    <row r="218" spans="1:29" ht="13.5" thickBot="1">
      <c r="A218" s="76"/>
      <c r="B218" s="308"/>
      <c r="C218" s="109" t="s">
        <v>29</v>
      </c>
      <c r="D218" s="121">
        <f>D209-D216</f>
        <v>2220.783489892195</v>
      </c>
      <c r="E218" s="119"/>
      <c r="F218" s="308"/>
      <c r="G218" s="109" t="s">
        <v>29</v>
      </c>
      <c r="H218" s="121">
        <f>H209-H216</f>
        <v>2694.184971082951</v>
      </c>
      <c r="I218" s="279">
        <f t="shared" si="41"/>
        <v>473.40148119075593</v>
      </c>
      <c r="J218" s="308"/>
      <c r="K218" s="109" t="s">
        <v>29</v>
      </c>
      <c r="L218" s="121">
        <f>L209-L216</f>
        <v>2861.264384526976</v>
      </c>
      <c r="M218" s="279">
        <f t="shared" si="46"/>
        <v>167.0794134440248</v>
      </c>
      <c r="N218" s="290">
        <f t="shared" si="42"/>
        <v>640.4808946347807</v>
      </c>
      <c r="O218" s="308"/>
      <c r="P218" s="109" t="s">
        <v>29</v>
      </c>
      <c r="Q218" s="121">
        <f>Q209-Q216</f>
        <v>2957.33504725729</v>
      </c>
      <c r="R218" s="420">
        <f t="shared" si="38"/>
        <v>2790.2556338132654</v>
      </c>
      <c r="S218" s="421">
        <f>Q218-I218</f>
        <v>2483.9335660665342</v>
      </c>
      <c r="T218" s="308"/>
      <c r="U218" s="109" t="s">
        <v>29</v>
      </c>
      <c r="V218" s="121">
        <f>V209-V216</f>
        <v>3049.228724651503</v>
      </c>
      <c r="W218" s="279">
        <f t="shared" si="39"/>
        <v>258.97309083823757</v>
      </c>
      <c r="X218" s="290">
        <f>V218-N218</f>
        <v>2408.747830016722</v>
      </c>
      <c r="Y218" s="308"/>
      <c r="Z218" s="109" t="s">
        <v>29</v>
      </c>
      <c r="AA218" s="121">
        <f>AA209-AA216</f>
        <v>3158.6657404573384</v>
      </c>
      <c r="AB218" s="279">
        <f t="shared" si="40"/>
        <v>2899.692649619101</v>
      </c>
      <c r="AC218" s="290">
        <f>AA218-S218</f>
        <v>674.7321743908042</v>
      </c>
    </row>
    <row r="219" spans="1:27" ht="12.75">
      <c r="A219" s="76"/>
      <c r="B219" s="4"/>
      <c r="C219" s="239"/>
      <c r="D219" s="240"/>
      <c r="F219" s="4"/>
      <c r="G219" s="239"/>
      <c r="H219" s="240"/>
      <c r="J219" s="4"/>
      <c r="K219" s="239"/>
      <c r="L219" s="240"/>
      <c r="O219" s="4"/>
      <c r="P219" s="239"/>
      <c r="Q219" s="240"/>
      <c r="T219" s="4"/>
      <c r="U219" s="239"/>
      <c r="V219" s="240"/>
      <c r="Y219" s="4"/>
      <c r="Z219" s="239"/>
      <c r="AA219" s="240"/>
    </row>
    <row r="220" spans="1:29" ht="18">
      <c r="A220" s="76"/>
      <c r="B220" s="76"/>
      <c r="C220" s="275"/>
      <c r="D220" s="276"/>
      <c r="E220" s="76"/>
      <c r="F220" s="277"/>
      <c r="G220" s="235" t="s">
        <v>419</v>
      </c>
      <c r="H220" s="236">
        <f>H218-D218</f>
        <v>473.40148119075593</v>
      </c>
      <c r="J220" s="277"/>
      <c r="K220" s="235" t="s">
        <v>419</v>
      </c>
      <c r="L220" s="236">
        <f>L218-H218</f>
        <v>167.0794134440248</v>
      </c>
      <c r="M220" s="280" t="s">
        <v>457</v>
      </c>
      <c r="N220" s="281">
        <f>L218-D218</f>
        <v>640.4808946347807</v>
      </c>
      <c r="O220" s="277"/>
      <c r="P220" s="235" t="s">
        <v>419</v>
      </c>
      <c r="Q220" s="236">
        <f>Q218-L218</f>
        <v>96.07066273031433</v>
      </c>
      <c r="R220" s="280" t="s">
        <v>457</v>
      </c>
      <c r="S220" s="281">
        <f>Q218-D218</f>
        <v>736.551557365095</v>
      </c>
      <c r="T220" s="277"/>
      <c r="U220" s="235" t="s">
        <v>419</v>
      </c>
      <c r="V220" s="236">
        <f>V218-L218</f>
        <v>187.9643401245271</v>
      </c>
      <c r="W220" s="280" t="s">
        <v>457</v>
      </c>
      <c r="X220" s="281">
        <f>V218-D218</f>
        <v>828.4452347593078</v>
      </c>
      <c r="Y220" s="277"/>
      <c r="Z220" s="235" t="s">
        <v>419</v>
      </c>
      <c r="AA220" s="236">
        <f>AA218-L218</f>
        <v>297.40135593036257</v>
      </c>
      <c r="AB220" s="280" t="s">
        <v>457</v>
      </c>
      <c r="AC220" s="281">
        <f>AA218-D218</f>
        <v>937.8822505651433</v>
      </c>
    </row>
    <row r="221" spans="1:29" ht="18">
      <c r="A221" s="76"/>
      <c r="B221" s="76"/>
      <c r="C221" s="275"/>
      <c r="D221" s="278"/>
      <c r="E221" s="76"/>
      <c r="F221" s="275"/>
      <c r="G221" s="235" t="s">
        <v>420</v>
      </c>
      <c r="H221" s="237">
        <f>H220/D218</f>
        <v>0.21316867823694804</v>
      </c>
      <c r="J221" s="275"/>
      <c r="K221" s="235" t="s">
        <v>420</v>
      </c>
      <c r="L221" s="237">
        <f>L220/H218</f>
        <v>0.06201482646414799</v>
      </c>
      <c r="M221" s="282" t="s">
        <v>458</v>
      </c>
      <c r="N221" s="283">
        <f>N220/D218</f>
        <v>0.2884031232895522</v>
      </c>
      <c r="O221" s="275"/>
      <c r="P221" s="235" t="s">
        <v>420</v>
      </c>
      <c r="Q221" s="237">
        <f>Q220/L218</f>
        <v>0.03357629698599024</v>
      </c>
      <c r="R221" s="282" t="s">
        <v>458</v>
      </c>
      <c r="S221" s="283">
        <f>S220/D218</f>
        <v>0.3316629291947996</v>
      </c>
      <c r="T221" s="275"/>
      <c r="U221" s="235" t="s">
        <v>420</v>
      </c>
      <c r="V221" s="237">
        <f>V220/L218</f>
        <v>0.06569275497258928</v>
      </c>
      <c r="W221" s="282" t="s">
        <v>458</v>
      </c>
      <c r="X221" s="283">
        <f>X220/D218</f>
        <v>0.37304187397373145</v>
      </c>
      <c r="Y221" s="275"/>
      <c r="Z221" s="235" t="s">
        <v>420</v>
      </c>
      <c r="AA221" s="237">
        <f>AA220/L218</f>
        <v>0.10394053675663004</v>
      </c>
      <c r="AB221" s="282" t="s">
        <v>458</v>
      </c>
      <c r="AC221" s="283">
        <f>AC220/D218</f>
        <v>0.4223204354831868</v>
      </c>
    </row>
    <row r="222" spans="1:28" ht="12.75">
      <c r="A222" s="76"/>
      <c r="B222" s="76"/>
      <c r="C222" s="76"/>
      <c r="D222" s="76"/>
      <c r="E222" s="76"/>
      <c r="F222" s="76"/>
      <c r="M222" s="44" t="s">
        <v>493</v>
      </c>
      <c r="R222" s="44" t="s">
        <v>493</v>
      </c>
      <c r="W222" s="44" t="s">
        <v>493</v>
      </c>
      <c r="AB222" s="44" t="s">
        <v>493</v>
      </c>
    </row>
    <row r="223" spans="1:7" ht="12.75">
      <c r="A223" s="76"/>
      <c r="B223" s="474"/>
      <c r="C223" s="76"/>
      <c r="D223" s="76"/>
      <c r="E223" s="76"/>
      <c r="F223" s="76"/>
      <c r="G223" s="76"/>
    </row>
    <row r="224" spans="1:7" ht="12.75">
      <c r="A224" s="76"/>
      <c r="B224" s="474"/>
      <c r="C224" s="76"/>
      <c r="D224" s="76"/>
      <c r="E224" s="76"/>
      <c r="F224" s="76"/>
      <c r="G224" s="76"/>
    </row>
    <row r="225" spans="1:10" ht="12.75">
      <c r="A225" s="76"/>
      <c r="B225" s="477"/>
      <c r="C225" s="477"/>
      <c r="D225" s="477"/>
      <c r="E225" s="477"/>
      <c r="F225" s="477"/>
      <c r="G225" s="477"/>
      <c r="H225" s="15"/>
      <c r="I225" s="12"/>
      <c r="J225" s="12"/>
    </row>
    <row r="226" spans="1:10" ht="20.25">
      <c r="A226" s="76"/>
      <c r="B226" s="462" t="s">
        <v>32</v>
      </c>
      <c r="C226" s="207"/>
      <c r="D226" s="207"/>
      <c r="E226" s="207"/>
      <c r="F226" s="207"/>
      <c r="G226" s="207"/>
      <c r="H226" s="15"/>
      <c r="I226" s="12"/>
      <c r="J226" s="12"/>
    </row>
    <row r="227" spans="1:10" ht="13.5" thickBot="1">
      <c r="A227" s="76"/>
      <c r="B227" s="76"/>
      <c r="C227" s="76"/>
      <c r="D227" s="76"/>
      <c r="E227" s="76"/>
      <c r="F227" s="76"/>
      <c r="G227" s="76"/>
      <c r="H227" s="15"/>
      <c r="I227" s="12"/>
      <c r="J227" s="12"/>
    </row>
    <row r="228" spans="1:10" ht="16.5" thickBot="1">
      <c r="A228" s="76"/>
      <c r="B228" s="113" t="s">
        <v>31</v>
      </c>
      <c r="C228" s="43"/>
      <c r="D228" s="13">
        <v>36</v>
      </c>
      <c r="E228" s="76"/>
      <c r="F228" s="76"/>
      <c r="G228" s="465"/>
      <c r="H228" s="15"/>
      <c r="I228" s="12"/>
      <c r="J228" s="114"/>
    </row>
    <row r="229" spans="1:10" ht="16.5" thickBot="1">
      <c r="A229" s="76"/>
      <c r="B229" s="88" t="s">
        <v>15</v>
      </c>
      <c r="C229" s="43"/>
      <c r="D229" s="142">
        <v>1.2</v>
      </c>
      <c r="E229" s="318"/>
      <c r="F229" s="76"/>
      <c r="G229" s="76"/>
      <c r="H229" s="15"/>
      <c r="I229" s="12"/>
      <c r="J229" s="115"/>
    </row>
    <row r="230" spans="1:10" ht="12.75">
      <c r="A230" s="76"/>
      <c r="E230" s="76"/>
      <c r="F230" s="475"/>
      <c r="G230" s="76"/>
      <c r="H230" s="15"/>
      <c r="I230" s="77"/>
      <c r="J230" s="117"/>
    </row>
    <row r="231" spans="1:10" ht="18.75" thickBot="1">
      <c r="A231" s="76"/>
      <c r="B231" s="91" t="s">
        <v>17</v>
      </c>
      <c r="C231" s="116"/>
      <c r="D231" s="122">
        <f>D228*86.9</f>
        <v>3128.4</v>
      </c>
      <c r="E231" s="76" t="s">
        <v>33</v>
      </c>
      <c r="F231" s="458"/>
      <c r="G231" s="453"/>
      <c r="H231" s="15"/>
      <c r="I231" s="12"/>
      <c r="J231" s="117"/>
    </row>
    <row r="232" spans="1:10" ht="12.75">
      <c r="A232" s="76"/>
      <c r="B232" s="76"/>
      <c r="C232" s="76"/>
      <c r="D232" s="76"/>
      <c r="E232" s="76"/>
      <c r="F232" s="76"/>
      <c r="G232" s="76"/>
      <c r="H232" s="15"/>
      <c r="I232" s="12"/>
      <c r="J232" s="12"/>
    </row>
    <row r="233" spans="1:10" ht="12.75">
      <c r="A233" s="76"/>
      <c r="B233" s="12"/>
      <c r="C233" s="12"/>
      <c r="D233" s="476"/>
      <c r="E233" s="76"/>
      <c r="F233" s="76"/>
      <c r="G233" s="76"/>
      <c r="H233" s="15"/>
      <c r="I233" s="12"/>
      <c r="J233" s="77"/>
    </row>
    <row r="234" spans="1:31" ht="15.75">
      <c r="A234" s="320"/>
      <c r="B234" s="456" t="s">
        <v>462</v>
      </c>
      <c r="C234" s="76"/>
      <c r="D234" s="76"/>
      <c r="E234" s="76"/>
      <c r="F234" s="456" t="s">
        <v>461</v>
      </c>
      <c r="G234" s="76"/>
      <c r="J234" s="456" t="s">
        <v>490</v>
      </c>
      <c r="K234" s="76"/>
      <c r="L234" s="76"/>
      <c r="M234" s="76"/>
      <c r="N234" s="76"/>
      <c r="O234" s="456" t="s">
        <v>492</v>
      </c>
      <c r="P234" s="76"/>
      <c r="Q234" s="76"/>
      <c r="R234" s="76"/>
      <c r="S234" s="76"/>
      <c r="T234" s="456" t="s">
        <v>500</v>
      </c>
      <c r="U234" s="76"/>
      <c r="V234" s="76"/>
      <c r="W234" s="76"/>
      <c r="X234" s="76"/>
      <c r="Y234" s="456" t="s">
        <v>491</v>
      </c>
      <c r="Z234" s="76"/>
      <c r="AA234" s="76"/>
      <c r="AB234" s="76"/>
      <c r="AC234" s="76"/>
      <c r="AD234" s="76"/>
      <c r="AE234" s="76"/>
    </row>
    <row r="235" spans="1:31" ht="13.5" thickBot="1">
      <c r="A235" s="76"/>
      <c r="B235" s="76"/>
      <c r="C235" s="76"/>
      <c r="D235" s="76"/>
      <c r="F235" s="76"/>
      <c r="G235" s="76"/>
      <c r="I235" s="11" t="s">
        <v>459</v>
      </c>
      <c r="J235" s="76"/>
      <c r="K235" s="76"/>
      <c r="L235" s="76"/>
      <c r="M235" s="76" t="s">
        <v>459</v>
      </c>
      <c r="N235" s="76" t="s">
        <v>460</v>
      </c>
      <c r="O235" s="76"/>
      <c r="P235" s="76"/>
      <c r="Q235" s="76"/>
      <c r="R235" s="76" t="s">
        <v>459</v>
      </c>
      <c r="S235" s="76" t="s">
        <v>460</v>
      </c>
      <c r="T235" s="76"/>
      <c r="U235" s="76"/>
      <c r="V235" s="76"/>
      <c r="W235" s="76" t="s">
        <v>459</v>
      </c>
      <c r="X235" s="76" t="s">
        <v>460</v>
      </c>
      <c r="Y235" s="76"/>
      <c r="Z235" s="76"/>
      <c r="AA235" s="76"/>
      <c r="AB235" s="76" t="s">
        <v>459</v>
      </c>
      <c r="AC235" s="76" t="s">
        <v>460</v>
      </c>
      <c r="AD235" s="76"/>
      <c r="AE235" s="76"/>
    </row>
    <row r="236" spans="1:29" ht="12.75">
      <c r="A236" s="76"/>
      <c r="B236" s="292">
        <v>400</v>
      </c>
      <c r="C236" s="293" t="s">
        <v>19</v>
      </c>
      <c r="D236" s="294">
        <f>puntostotalhorassup*indicesep07*0.82</f>
        <v>1269.81756</v>
      </c>
      <c r="F236" s="292">
        <v>400</v>
      </c>
      <c r="G236" s="293" t="s">
        <v>19</v>
      </c>
      <c r="H236" s="294">
        <f>puntostotalhorassup*indicemar08*0.82</f>
        <v>1513.5199199999997</v>
      </c>
      <c r="I236" s="238">
        <f>H236-D236</f>
        <v>243.70235999999977</v>
      </c>
      <c r="J236" s="292">
        <v>400</v>
      </c>
      <c r="K236" s="293" t="s">
        <v>19</v>
      </c>
      <c r="L236" s="294">
        <f>puntostotalhorassup*indicejul08*0.82</f>
        <v>1616.1314399999999</v>
      </c>
      <c r="M236" s="238">
        <f>L236-H236</f>
        <v>102.61152000000016</v>
      </c>
      <c r="N236" s="190">
        <f>L236-D236</f>
        <v>346.3138799999999</v>
      </c>
      <c r="O236" s="292">
        <v>400</v>
      </c>
      <c r="P236" s="293" t="s">
        <v>19</v>
      </c>
      <c r="Q236" s="294">
        <f>puntostotalhorassup*indiceago08*0.82</f>
        <v>1675.133064</v>
      </c>
      <c r="R236" s="238">
        <f>Q236-M236</f>
        <v>1572.521544</v>
      </c>
      <c r="S236" s="190">
        <f>Q236-I236</f>
        <v>1431.4307040000003</v>
      </c>
      <c r="T236" s="292">
        <v>400</v>
      </c>
      <c r="U236" s="293" t="s">
        <v>19</v>
      </c>
      <c r="V236" s="294">
        <f>puntostotalhorassup*indiceoct08*0.82</f>
        <v>1731.5693999999999</v>
      </c>
      <c r="W236" s="238">
        <f>V236-R236</f>
        <v>159.0478559999999</v>
      </c>
      <c r="X236" s="190">
        <f>V236-N236</f>
        <v>1385.25552</v>
      </c>
      <c r="Y236" s="292">
        <v>400</v>
      </c>
      <c r="Z236" s="293" t="s">
        <v>19</v>
      </c>
      <c r="AA236" s="294">
        <f>puntostotalhorassup*indicedic08*0.82</f>
        <v>1798.7799456</v>
      </c>
      <c r="AB236" s="238">
        <f>AA236-W236</f>
        <v>1639.7320896</v>
      </c>
      <c r="AC236" s="190">
        <f>AA236-S236</f>
        <v>367.3492415999997</v>
      </c>
    </row>
    <row r="237" spans="1:29" ht="12.75">
      <c r="A237" s="76"/>
      <c r="B237" s="295">
        <v>406</v>
      </c>
      <c r="C237" s="18" t="s">
        <v>20</v>
      </c>
      <c r="D237" s="296">
        <f>D236*porcantigsup</f>
        <v>1523.781072</v>
      </c>
      <c r="F237" s="295">
        <v>406</v>
      </c>
      <c r="G237" s="18" t="s">
        <v>20</v>
      </c>
      <c r="H237" s="296">
        <f>H236*porcantigsup</f>
        <v>1816.2239039999997</v>
      </c>
      <c r="I237" s="238">
        <f aca="true" t="shared" si="47" ref="I237:I250">H237-D237</f>
        <v>292.4428319999997</v>
      </c>
      <c r="J237" s="295">
        <v>406</v>
      </c>
      <c r="K237" s="18" t="s">
        <v>20</v>
      </c>
      <c r="L237" s="296">
        <f>L236*porcantigsup</f>
        <v>1939.3577279999997</v>
      </c>
      <c r="M237" s="238">
        <f aca="true" t="shared" si="48" ref="M237:M248">L237-H237</f>
        <v>123.133824</v>
      </c>
      <c r="N237" s="284">
        <f aca="true" t="shared" si="49" ref="N237:N250">L237-D237</f>
        <v>415.57665599999973</v>
      </c>
      <c r="O237" s="295">
        <v>406</v>
      </c>
      <c r="P237" s="18" t="s">
        <v>20</v>
      </c>
      <c r="Q237" s="296">
        <f>Q236*porcantigsup</f>
        <v>2010.1596768</v>
      </c>
      <c r="R237" s="238">
        <f aca="true" t="shared" si="50" ref="R237:R248">Q237-M237</f>
        <v>1887.0258528</v>
      </c>
      <c r="S237" s="284">
        <f aca="true" t="shared" si="51" ref="S237:S248">Q237-I237</f>
        <v>1717.7168448000002</v>
      </c>
      <c r="T237" s="295">
        <v>406</v>
      </c>
      <c r="U237" s="18" t="s">
        <v>20</v>
      </c>
      <c r="V237" s="296">
        <f>V236*porcantigsup</f>
        <v>2077.8832799999996</v>
      </c>
      <c r="W237" s="238">
        <f aca="true" t="shared" si="52" ref="W237:W248">V237-R237</f>
        <v>190.85742719999962</v>
      </c>
      <c r="X237" s="284">
        <f aca="true" t="shared" si="53" ref="X237:X248">V237-N237</f>
        <v>1662.3066239999998</v>
      </c>
      <c r="Y237" s="295">
        <v>406</v>
      </c>
      <c r="Z237" s="18" t="s">
        <v>20</v>
      </c>
      <c r="AA237" s="296">
        <f>AA236*porcantigsup</f>
        <v>2158.53593472</v>
      </c>
      <c r="AB237" s="238">
        <f aca="true" t="shared" si="54" ref="AB237:AB248">AA237-W237</f>
        <v>1967.6785075200005</v>
      </c>
      <c r="AC237" s="284">
        <f aca="true" t="shared" si="55" ref="AC237:AC248">AA237-S237</f>
        <v>440.8190899199999</v>
      </c>
    </row>
    <row r="238" spans="1:29" ht="12.75">
      <c r="A238" s="453"/>
      <c r="B238" s="295">
        <v>432</v>
      </c>
      <c r="C238" s="18" t="s">
        <v>364</v>
      </c>
      <c r="D238" s="297">
        <f>IF(numhorassup&gt;15,141,cod06supsep07*numhorassup)*0.82</f>
        <v>115.61999999999999</v>
      </c>
      <c r="F238" s="295">
        <v>432</v>
      </c>
      <c r="G238" s="18" t="s">
        <v>364</v>
      </c>
      <c r="H238" s="297">
        <f>IF(numhorassup&gt;15,141,cod06supsep07*numhorassup)*0.82</f>
        <v>115.61999999999999</v>
      </c>
      <c r="I238" s="238">
        <f t="shared" si="47"/>
        <v>0</v>
      </c>
      <c r="J238" s="295">
        <v>432</v>
      </c>
      <c r="K238" s="18" t="s">
        <v>364</v>
      </c>
      <c r="L238" s="297">
        <f>IF(numhorassup&gt;15,141,cod06supsep07*numhorassup)*0.82</f>
        <v>115.61999999999999</v>
      </c>
      <c r="M238" s="238">
        <f t="shared" si="48"/>
        <v>0</v>
      </c>
      <c r="N238" s="284">
        <f t="shared" si="49"/>
        <v>0</v>
      </c>
      <c r="O238" s="295">
        <v>432</v>
      </c>
      <c r="P238" s="18" t="s">
        <v>364</v>
      </c>
      <c r="Q238" s="297">
        <f>IF(numhorassup&gt;15,141,cod06supsep07*numhorassup)*0.82</f>
        <v>115.61999999999999</v>
      </c>
      <c r="R238" s="238">
        <f t="shared" si="50"/>
        <v>115.61999999999999</v>
      </c>
      <c r="S238" s="284">
        <f t="shared" si="51"/>
        <v>115.61999999999999</v>
      </c>
      <c r="T238" s="295">
        <v>432</v>
      </c>
      <c r="U238" s="18" t="s">
        <v>364</v>
      </c>
      <c r="V238" s="297">
        <f>IF(numhorassup&gt;15,141,cod06supsep07*numhorassup)*0.82</f>
        <v>115.61999999999999</v>
      </c>
      <c r="W238" s="238">
        <f t="shared" si="52"/>
        <v>0</v>
      </c>
      <c r="X238" s="284">
        <f t="shared" si="53"/>
        <v>115.61999999999999</v>
      </c>
      <c r="Y238" s="295">
        <v>432</v>
      </c>
      <c r="Z238" s="18" t="s">
        <v>364</v>
      </c>
      <c r="AA238" s="297">
        <f>IF(numhorassup&gt;15,141,cod06supsep07*numhorassup)*0.82</f>
        <v>115.61999999999999</v>
      </c>
      <c r="AB238" s="238">
        <f t="shared" si="54"/>
        <v>115.61999999999999</v>
      </c>
      <c r="AC238" s="284">
        <f t="shared" si="55"/>
        <v>0</v>
      </c>
    </row>
    <row r="239" spans="1:29" ht="12.75">
      <c r="A239" s="453"/>
      <c r="B239" s="295">
        <v>434</v>
      </c>
      <c r="C239" s="18" t="s">
        <v>360</v>
      </c>
      <c r="D239" s="296">
        <f>(D236+D237+D238)*0.07*0.95</f>
        <v>193.46303902800003</v>
      </c>
      <c r="F239" s="295">
        <v>434</v>
      </c>
      <c r="G239" s="18" t="s">
        <v>360</v>
      </c>
      <c r="H239" s="296">
        <f>(H236+H237+H238)*0.07*0.95</f>
        <v>229.11669429599996</v>
      </c>
      <c r="I239" s="238">
        <f t="shared" si="47"/>
        <v>35.65365526799994</v>
      </c>
      <c r="J239" s="295">
        <v>434</v>
      </c>
      <c r="K239" s="18" t="s">
        <v>360</v>
      </c>
      <c r="L239" s="296">
        <f>(L236+L237+L238)*0.07*0.95</f>
        <v>244.12875967199997</v>
      </c>
      <c r="M239" s="238">
        <f t="shared" si="48"/>
        <v>15.01206537600001</v>
      </c>
      <c r="N239" s="284">
        <f t="shared" si="49"/>
        <v>50.66572064399995</v>
      </c>
      <c r="O239" s="295">
        <v>434</v>
      </c>
      <c r="P239" s="18" t="s">
        <v>360</v>
      </c>
      <c r="Q239" s="296">
        <f>(Q236+Q237+Q238)*0.07*0.95</f>
        <v>252.76069726319997</v>
      </c>
      <c r="R239" s="238">
        <f t="shared" si="50"/>
        <v>237.74863188719996</v>
      </c>
      <c r="S239" s="284">
        <f t="shared" si="51"/>
        <v>217.10704199520003</v>
      </c>
      <c r="T239" s="295">
        <v>434</v>
      </c>
      <c r="U239" s="18" t="s">
        <v>360</v>
      </c>
      <c r="V239" s="296">
        <f>(V236+V237+V238)*0.07*0.95</f>
        <v>261.01733321999995</v>
      </c>
      <c r="W239" s="238">
        <f t="shared" si="52"/>
        <v>23.268701332799992</v>
      </c>
      <c r="X239" s="284">
        <f t="shared" si="53"/>
        <v>210.351612576</v>
      </c>
      <c r="Y239" s="295">
        <v>434</v>
      </c>
      <c r="Z239" s="18" t="s">
        <v>360</v>
      </c>
      <c r="AA239" s="296">
        <f>(AA236+AA237+AA238)*0.07*0.95</f>
        <v>270.85023604128</v>
      </c>
      <c r="AB239" s="238">
        <f t="shared" si="54"/>
        <v>247.58153470848004</v>
      </c>
      <c r="AC239" s="284">
        <f t="shared" si="55"/>
        <v>53.74319404607999</v>
      </c>
    </row>
    <row r="240" spans="1:29" ht="13.5" thickBot="1">
      <c r="A240" s="453"/>
      <c r="B240" s="295"/>
      <c r="C240" s="96" t="s">
        <v>381</v>
      </c>
      <c r="D240" s="298">
        <v>0</v>
      </c>
      <c r="F240" s="295"/>
      <c r="G240" s="96" t="s">
        <v>381</v>
      </c>
      <c r="H240" s="298">
        <v>0</v>
      </c>
      <c r="I240" s="238">
        <f t="shared" si="47"/>
        <v>0</v>
      </c>
      <c r="J240" s="295"/>
      <c r="K240" s="96" t="s">
        <v>381</v>
      </c>
      <c r="L240" s="298">
        <v>0</v>
      </c>
      <c r="M240" s="238">
        <f t="shared" si="48"/>
        <v>0</v>
      </c>
      <c r="N240" s="284">
        <f t="shared" si="49"/>
        <v>0</v>
      </c>
      <c r="O240" s="295"/>
      <c r="P240" s="96" t="s">
        <v>381</v>
      </c>
      <c r="Q240" s="298">
        <v>0</v>
      </c>
      <c r="R240" s="238">
        <f t="shared" si="50"/>
        <v>0</v>
      </c>
      <c r="S240" s="284">
        <f t="shared" si="51"/>
        <v>0</v>
      </c>
      <c r="T240" s="295"/>
      <c r="U240" s="96" t="s">
        <v>381</v>
      </c>
      <c r="V240" s="298">
        <v>0</v>
      </c>
      <c r="W240" s="238">
        <f t="shared" si="52"/>
        <v>0</v>
      </c>
      <c r="X240" s="284">
        <f t="shared" si="53"/>
        <v>0</v>
      </c>
      <c r="Y240" s="295"/>
      <c r="Z240" s="96" t="s">
        <v>381</v>
      </c>
      <c r="AA240" s="298">
        <v>0</v>
      </c>
      <c r="AB240" s="238">
        <f t="shared" si="54"/>
        <v>0</v>
      </c>
      <c r="AC240" s="284">
        <f t="shared" si="55"/>
        <v>0</v>
      </c>
    </row>
    <row r="241" spans="1:29" ht="13.5" thickBot="1">
      <c r="A241" s="453"/>
      <c r="B241" s="299"/>
      <c r="C241" s="98" t="s">
        <v>21</v>
      </c>
      <c r="D241" s="118">
        <f>SUM(D236:D240)</f>
        <v>3102.681671028</v>
      </c>
      <c r="F241" s="299"/>
      <c r="G241" s="98" t="s">
        <v>21</v>
      </c>
      <c r="H241" s="118">
        <f>SUM(H236:H240)</f>
        <v>3674.480518295999</v>
      </c>
      <c r="I241" s="245">
        <f t="shared" si="47"/>
        <v>571.798847267999</v>
      </c>
      <c r="J241" s="299"/>
      <c r="K241" s="98" t="s">
        <v>21</v>
      </c>
      <c r="L241" s="118">
        <f>SUM(L236:L240)</f>
        <v>3915.2379276719994</v>
      </c>
      <c r="M241" s="245">
        <f t="shared" si="48"/>
        <v>240.7574093760004</v>
      </c>
      <c r="N241" s="285">
        <f t="shared" si="49"/>
        <v>812.5562566439994</v>
      </c>
      <c r="O241" s="299"/>
      <c r="P241" s="98" t="s">
        <v>21</v>
      </c>
      <c r="Q241" s="118">
        <f>SUM(Q236:Q240)</f>
        <v>4053.6734380631997</v>
      </c>
      <c r="R241" s="245">
        <f t="shared" si="50"/>
        <v>3812.9160286871993</v>
      </c>
      <c r="S241" s="285">
        <f t="shared" si="51"/>
        <v>3481.8745907952007</v>
      </c>
      <c r="T241" s="299"/>
      <c r="U241" s="98" t="s">
        <v>21</v>
      </c>
      <c r="V241" s="118">
        <f>SUM(V236:V240)</f>
        <v>4186.0900132199995</v>
      </c>
      <c r="W241" s="245">
        <f t="shared" si="52"/>
        <v>373.1739845328002</v>
      </c>
      <c r="X241" s="285">
        <f t="shared" si="53"/>
        <v>3373.533756576</v>
      </c>
      <c r="Y241" s="299"/>
      <c r="Z241" s="98" t="s">
        <v>21</v>
      </c>
      <c r="AA241" s="118">
        <f>SUM(AA236:AA240)</f>
        <v>4343.786116361281</v>
      </c>
      <c r="AB241" s="245">
        <f t="shared" si="54"/>
        <v>3970.6121318284804</v>
      </c>
      <c r="AC241" s="285">
        <f t="shared" si="55"/>
        <v>861.91152556608</v>
      </c>
    </row>
    <row r="242" spans="1:29" ht="12.75">
      <c r="A242" s="453"/>
      <c r="B242" s="295">
        <v>703</v>
      </c>
      <c r="C242" s="100" t="s">
        <v>22</v>
      </c>
      <c r="D242" s="300">
        <f>(D241-D240)*0.0025</f>
        <v>7.7567041775700005</v>
      </c>
      <c r="F242" s="295">
        <v>703</v>
      </c>
      <c r="G242" s="100" t="s">
        <v>22</v>
      </c>
      <c r="H242" s="300">
        <f>(H241-H240)*0.0025</f>
        <v>9.186201295739998</v>
      </c>
      <c r="I242" s="119">
        <f t="shared" si="47"/>
        <v>1.4294971181699978</v>
      </c>
      <c r="J242" s="295">
        <v>703</v>
      </c>
      <c r="K242" s="100" t="s">
        <v>22</v>
      </c>
      <c r="L242" s="300">
        <f>(L241-L240)*0.0025</f>
        <v>9.78809481918</v>
      </c>
      <c r="M242" s="119">
        <f t="shared" si="48"/>
        <v>0.6018935234400011</v>
      </c>
      <c r="N242" s="291">
        <f t="shared" si="49"/>
        <v>2.031390641609999</v>
      </c>
      <c r="O242" s="295">
        <v>703</v>
      </c>
      <c r="P242" s="100" t="s">
        <v>22</v>
      </c>
      <c r="Q242" s="300">
        <f>(Q241-Q240)*0.0025</f>
        <v>10.134183595158</v>
      </c>
      <c r="R242" s="119">
        <f t="shared" si="50"/>
        <v>9.532290071717998</v>
      </c>
      <c r="S242" s="291">
        <f t="shared" si="51"/>
        <v>8.704686476988002</v>
      </c>
      <c r="T242" s="295">
        <v>703</v>
      </c>
      <c r="U242" s="100" t="s">
        <v>22</v>
      </c>
      <c r="V242" s="300">
        <f>(V241-V240)*0.0025</f>
        <v>10.465225033049999</v>
      </c>
      <c r="W242" s="119">
        <f t="shared" si="52"/>
        <v>0.9329349613320002</v>
      </c>
      <c r="X242" s="291">
        <f t="shared" si="53"/>
        <v>8.43383439144</v>
      </c>
      <c r="Y242" s="295">
        <v>703</v>
      </c>
      <c r="Z242" s="100" t="s">
        <v>22</v>
      </c>
      <c r="AA242" s="300">
        <f>(AA241-AA240)*0.0025</f>
        <v>10.859465290903202</v>
      </c>
      <c r="AB242" s="119">
        <f t="shared" si="54"/>
        <v>9.926530329571202</v>
      </c>
      <c r="AC242" s="291">
        <f t="shared" si="55"/>
        <v>2.1547788139152004</v>
      </c>
    </row>
    <row r="243" spans="1:29" ht="12.75">
      <c r="A243" s="76"/>
      <c r="B243" s="301">
        <v>707</v>
      </c>
      <c r="C243" s="102" t="s">
        <v>23</v>
      </c>
      <c r="D243" s="302">
        <f>(D241-D240)*0.03</f>
        <v>93.08045013083999</v>
      </c>
      <c r="F243" s="301">
        <v>707</v>
      </c>
      <c r="G243" s="102" t="s">
        <v>23</v>
      </c>
      <c r="H243" s="302">
        <f>(H241-H240)*0.03</f>
        <v>110.23441554887997</v>
      </c>
      <c r="I243" s="119">
        <f t="shared" si="47"/>
        <v>17.153965418039974</v>
      </c>
      <c r="J243" s="301">
        <v>707</v>
      </c>
      <c r="K243" s="102" t="s">
        <v>23</v>
      </c>
      <c r="L243" s="302">
        <f>(L241-L240)*0.03</f>
        <v>117.45713783015998</v>
      </c>
      <c r="M243" s="119">
        <f t="shared" si="48"/>
        <v>7.222722281280014</v>
      </c>
      <c r="N243" s="291">
        <f t="shared" si="49"/>
        <v>24.376687699319987</v>
      </c>
      <c r="O243" s="301">
        <v>707</v>
      </c>
      <c r="P243" s="102" t="s">
        <v>23</v>
      </c>
      <c r="Q243" s="302">
        <f>(Q241-Q240)*0.03</f>
        <v>121.61020314189598</v>
      </c>
      <c r="R243" s="119">
        <f t="shared" si="50"/>
        <v>114.38748086061597</v>
      </c>
      <c r="S243" s="291">
        <f t="shared" si="51"/>
        <v>104.456237723856</v>
      </c>
      <c r="T243" s="301">
        <v>707</v>
      </c>
      <c r="U243" s="102" t="s">
        <v>23</v>
      </c>
      <c r="V243" s="302">
        <f>(V241-V240)*0.03</f>
        <v>125.58270039659998</v>
      </c>
      <c r="W243" s="119">
        <f t="shared" si="52"/>
        <v>11.195219535984009</v>
      </c>
      <c r="X243" s="291">
        <f t="shared" si="53"/>
        <v>101.20601269727999</v>
      </c>
      <c r="Y243" s="301">
        <v>707</v>
      </c>
      <c r="Z243" s="102" t="s">
        <v>23</v>
      </c>
      <c r="AA243" s="302">
        <f>(AA241-AA240)*0.03</f>
        <v>130.31358349083843</v>
      </c>
      <c r="AB243" s="119">
        <f t="shared" si="54"/>
        <v>119.11836395485442</v>
      </c>
      <c r="AC243" s="291">
        <f t="shared" si="55"/>
        <v>25.85734576698242</v>
      </c>
    </row>
    <row r="244" spans="1:29" ht="12.75">
      <c r="A244" s="191"/>
      <c r="B244" s="301">
        <v>709</v>
      </c>
      <c r="C244" s="102" t="s">
        <v>24</v>
      </c>
      <c r="D244" s="302">
        <f>(D241-D240)*0.0213</f>
        <v>66.0871195928964</v>
      </c>
      <c r="F244" s="301">
        <v>709</v>
      </c>
      <c r="G244" s="102" t="s">
        <v>24</v>
      </c>
      <c r="H244" s="302">
        <f>(H241-H240)*0.0213</f>
        <v>78.26643503970477</v>
      </c>
      <c r="I244" s="119">
        <f t="shared" si="47"/>
        <v>12.179315446808374</v>
      </c>
      <c r="J244" s="301">
        <v>709</v>
      </c>
      <c r="K244" s="102" t="s">
        <v>24</v>
      </c>
      <c r="L244" s="302">
        <f>(L241-L240)*0.0213</f>
        <v>83.39456785941358</v>
      </c>
      <c r="M244" s="119">
        <f t="shared" si="48"/>
        <v>5.12813281970881</v>
      </c>
      <c r="N244" s="291">
        <f t="shared" si="49"/>
        <v>17.307448266517184</v>
      </c>
      <c r="O244" s="301">
        <v>709</v>
      </c>
      <c r="P244" s="102" t="s">
        <v>24</v>
      </c>
      <c r="Q244" s="302">
        <f>(Q241-Q240)*0.0213</f>
        <v>86.34324423074615</v>
      </c>
      <c r="R244" s="119">
        <f t="shared" si="50"/>
        <v>81.21511141103734</v>
      </c>
      <c r="S244" s="291">
        <f t="shared" si="51"/>
        <v>74.16392878393778</v>
      </c>
      <c r="T244" s="301">
        <v>709</v>
      </c>
      <c r="U244" s="102" t="s">
        <v>24</v>
      </c>
      <c r="V244" s="302">
        <f>(V241-V240)*0.0213</f>
        <v>89.16371728158599</v>
      </c>
      <c r="W244" s="119">
        <f t="shared" si="52"/>
        <v>7.948605870548647</v>
      </c>
      <c r="X244" s="291">
        <f t="shared" si="53"/>
        <v>71.8562690150688</v>
      </c>
      <c r="Y244" s="301">
        <v>709</v>
      </c>
      <c r="Z244" s="102" t="s">
        <v>24</v>
      </c>
      <c r="AA244" s="302">
        <f>(AA241-AA240)*0.0213</f>
        <v>92.52264427849528</v>
      </c>
      <c r="AB244" s="119">
        <f t="shared" si="54"/>
        <v>84.57403840794663</v>
      </c>
      <c r="AC244" s="291">
        <f t="shared" si="55"/>
        <v>18.3587154945575</v>
      </c>
    </row>
    <row r="245" spans="1:29" ht="12.75">
      <c r="A245" s="191"/>
      <c r="B245" s="303">
        <v>710</v>
      </c>
      <c r="C245" s="102" t="s">
        <v>25</v>
      </c>
      <c r="D245" s="302">
        <f>(D241-D240)*0.00754</f>
        <v>23.39421979955112</v>
      </c>
      <c r="F245" s="303">
        <v>710</v>
      </c>
      <c r="G245" s="102" t="s">
        <v>25</v>
      </c>
      <c r="H245" s="302">
        <f>(H241-H240)*0.00754</f>
        <v>27.70558310795183</v>
      </c>
      <c r="I245" s="119">
        <f t="shared" si="47"/>
        <v>4.311363308400711</v>
      </c>
      <c r="J245" s="303">
        <v>710</v>
      </c>
      <c r="K245" s="102" t="s">
        <v>25</v>
      </c>
      <c r="L245" s="302">
        <f>(L241-L240)*0.00754</f>
        <v>29.520893974646874</v>
      </c>
      <c r="M245" s="119">
        <f t="shared" si="48"/>
        <v>1.815310866695043</v>
      </c>
      <c r="N245" s="291">
        <f t="shared" si="49"/>
        <v>6.126674175095754</v>
      </c>
      <c r="O245" s="303">
        <v>710</v>
      </c>
      <c r="P245" s="102" t="s">
        <v>25</v>
      </c>
      <c r="Q245" s="302">
        <f>(Q241-Q240)*0.00754</f>
        <v>30.564697722996524</v>
      </c>
      <c r="R245" s="119">
        <f t="shared" si="50"/>
        <v>28.74938685630148</v>
      </c>
      <c r="S245" s="291">
        <f t="shared" si="51"/>
        <v>26.253334414595813</v>
      </c>
      <c r="T245" s="303">
        <v>710</v>
      </c>
      <c r="U245" s="102" t="s">
        <v>25</v>
      </c>
      <c r="V245" s="302">
        <f>(V241-V240)*0.00754</f>
        <v>31.563118699678796</v>
      </c>
      <c r="W245" s="119">
        <f t="shared" si="52"/>
        <v>2.8137318433773153</v>
      </c>
      <c r="X245" s="291">
        <f t="shared" si="53"/>
        <v>25.43644452458304</v>
      </c>
      <c r="Y245" s="303">
        <v>710</v>
      </c>
      <c r="Z245" s="102" t="s">
        <v>25</v>
      </c>
      <c r="AA245" s="302">
        <f>(AA241-AA240)*0.00754</f>
        <v>32.752147317364056</v>
      </c>
      <c r="AB245" s="119">
        <f t="shared" si="54"/>
        <v>29.93841547398674</v>
      </c>
      <c r="AC245" s="291">
        <f t="shared" si="55"/>
        <v>6.498812902768243</v>
      </c>
    </row>
    <row r="246" spans="1:29" ht="12.75">
      <c r="A246" s="191"/>
      <c r="B246" s="303">
        <v>713</v>
      </c>
      <c r="C246" s="102" t="s">
        <v>26</v>
      </c>
      <c r="D246" s="302">
        <f>(D241-D240)*0.007</f>
        <v>21.718771697196</v>
      </c>
      <c r="F246" s="303">
        <v>713</v>
      </c>
      <c r="G246" s="102" t="s">
        <v>26</v>
      </c>
      <c r="H246" s="302">
        <f>(H241-H240)*0.007</f>
        <v>25.721363628071995</v>
      </c>
      <c r="I246" s="119">
        <f t="shared" si="47"/>
        <v>4.002591930875994</v>
      </c>
      <c r="J246" s="303">
        <v>713</v>
      </c>
      <c r="K246" s="102" t="s">
        <v>26</v>
      </c>
      <c r="L246" s="302">
        <f>(L241-L240)*0.007</f>
        <v>27.406665493703997</v>
      </c>
      <c r="M246" s="119">
        <f t="shared" si="48"/>
        <v>1.6853018656320025</v>
      </c>
      <c r="N246" s="291">
        <f t="shared" si="49"/>
        <v>5.687893796507996</v>
      </c>
      <c r="O246" s="303">
        <v>713</v>
      </c>
      <c r="P246" s="102" t="s">
        <v>26</v>
      </c>
      <c r="Q246" s="302">
        <f>(Q241-Q240)*0.007</f>
        <v>28.3757140664424</v>
      </c>
      <c r="R246" s="119">
        <f t="shared" si="50"/>
        <v>26.690412200810396</v>
      </c>
      <c r="S246" s="291">
        <f t="shared" si="51"/>
        <v>24.373122135566405</v>
      </c>
      <c r="T246" s="303">
        <v>713</v>
      </c>
      <c r="U246" s="102" t="s">
        <v>26</v>
      </c>
      <c r="V246" s="302">
        <f>(V241-V240)*0.007</f>
        <v>29.302630092539996</v>
      </c>
      <c r="W246" s="119">
        <f t="shared" si="52"/>
        <v>2.6122178917295997</v>
      </c>
      <c r="X246" s="291">
        <f t="shared" si="53"/>
        <v>23.614736296032</v>
      </c>
      <c r="Y246" s="303">
        <v>713</v>
      </c>
      <c r="Z246" s="102" t="s">
        <v>26</v>
      </c>
      <c r="AA246" s="302">
        <f>(AA241-AA240)*0.007</f>
        <v>30.406502814528967</v>
      </c>
      <c r="AB246" s="119">
        <f t="shared" si="54"/>
        <v>27.794284922799367</v>
      </c>
      <c r="AC246" s="291">
        <f t="shared" si="55"/>
        <v>6.033380678962562</v>
      </c>
    </row>
    <row r="247" spans="1:29" ht="13.5" thickBot="1">
      <c r="A247" s="192"/>
      <c r="B247" s="303"/>
      <c r="C247" s="103" t="s">
        <v>27</v>
      </c>
      <c r="D247" s="304">
        <v>0</v>
      </c>
      <c r="F247" s="303"/>
      <c r="G247" s="103" t="s">
        <v>27</v>
      </c>
      <c r="H247" s="304">
        <v>0</v>
      </c>
      <c r="I247" s="119">
        <f t="shared" si="47"/>
        <v>0</v>
      </c>
      <c r="J247" s="303"/>
      <c r="K247" s="103" t="s">
        <v>27</v>
      </c>
      <c r="L247" s="304">
        <v>0</v>
      </c>
      <c r="M247" s="119">
        <f t="shared" si="48"/>
        <v>0</v>
      </c>
      <c r="N247" s="291">
        <f t="shared" si="49"/>
        <v>0</v>
      </c>
      <c r="O247" s="303"/>
      <c r="P247" s="103" t="s">
        <v>27</v>
      </c>
      <c r="Q247" s="304">
        <v>0</v>
      </c>
      <c r="R247" s="119">
        <f t="shared" si="50"/>
        <v>0</v>
      </c>
      <c r="S247" s="291">
        <f t="shared" si="51"/>
        <v>0</v>
      </c>
      <c r="T247" s="303"/>
      <c r="U247" s="103" t="s">
        <v>27</v>
      </c>
      <c r="V247" s="304">
        <v>0</v>
      </c>
      <c r="W247" s="119">
        <f t="shared" si="52"/>
        <v>0</v>
      </c>
      <c r="X247" s="291">
        <f t="shared" si="53"/>
        <v>0</v>
      </c>
      <c r="Y247" s="303"/>
      <c r="Z247" s="103" t="s">
        <v>27</v>
      </c>
      <c r="AA247" s="304">
        <v>0</v>
      </c>
      <c r="AB247" s="119">
        <f t="shared" si="54"/>
        <v>0</v>
      </c>
      <c r="AC247" s="291">
        <f t="shared" si="55"/>
        <v>0</v>
      </c>
    </row>
    <row r="248" spans="1:29" ht="13.5" thickBot="1">
      <c r="A248" s="453"/>
      <c r="B248" s="305"/>
      <c r="C248" s="98" t="s">
        <v>28</v>
      </c>
      <c r="D248" s="120">
        <f>SUM(D242:D247)</f>
        <v>212.03726539805348</v>
      </c>
      <c r="F248" s="305"/>
      <c r="G248" s="98" t="s">
        <v>28</v>
      </c>
      <c r="H248" s="120">
        <f>SUM(H242:H247)</f>
        <v>251.11399862034855</v>
      </c>
      <c r="I248" s="119">
        <f t="shared" si="47"/>
        <v>39.076733222295076</v>
      </c>
      <c r="J248" s="305"/>
      <c r="K248" s="98" t="s">
        <v>28</v>
      </c>
      <c r="L248" s="120">
        <f>SUM(L242:L247)</f>
        <v>267.56735997710445</v>
      </c>
      <c r="M248" s="119">
        <f t="shared" si="48"/>
        <v>16.45336135675589</v>
      </c>
      <c r="N248" s="291">
        <f t="shared" si="49"/>
        <v>55.53009457905097</v>
      </c>
      <c r="O248" s="305"/>
      <c r="P248" s="98" t="s">
        <v>28</v>
      </c>
      <c r="Q248" s="120">
        <f>SUM(Q242:Q247)</f>
        <v>277.02804275723906</v>
      </c>
      <c r="R248" s="119">
        <f t="shared" si="50"/>
        <v>260.5746814004832</v>
      </c>
      <c r="S248" s="291">
        <f t="shared" si="51"/>
        <v>237.951309534944</v>
      </c>
      <c r="T248" s="305"/>
      <c r="U248" s="98" t="s">
        <v>28</v>
      </c>
      <c r="V248" s="120">
        <f>SUM(V242:V247)</f>
        <v>286.07739150345475</v>
      </c>
      <c r="W248" s="119">
        <f t="shared" si="52"/>
        <v>25.502710102971548</v>
      </c>
      <c r="X248" s="291">
        <f t="shared" si="53"/>
        <v>230.54729692440378</v>
      </c>
      <c r="Y248" s="305"/>
      <c r="Z248" s="98" t="s">
        <v>28</v>
      </c>
      <c r="AA248" s="120">
        <f>SUM(AA242:AA247)</f>
        <v>296.8543431921299</v>
      </c>
      <c r="AB248" s="119">
        <f t="shared" si="54"/>
        <v>271.3516330891583</v>
      </c>
      <c r="AC248" s="291">
        <f t="shared" si="55"/>
        <v>58.90303365718589</v>
      </c>
    </row>
    <row r="249" spans="1:29" ht="13.5" thickBot="1">
      <c r="A249" s="453"/>
      <c r="B249" s="306"/>
      <c r="C249" s="106"/>
      <c r="D249" s="307"/>
      <c r="F249" s="306"/>
      <c r="G249" s="106"/>
      <c r="H249" s="307"/>
      <c r="I249" s="238"/>
      <c r="J249" s="306"/>
      <c r="K249" s="106"/>
      <c r="L249" s="307"/>
      <c r="M249" s="238"/>
      <c r="N249" s="284"/>
      <c r="O249" s="306"/>
      <c r="P249" s="106"/>
      <c r="Q249" s="307"/>
      <c r="R249" s="238"/>
      <c r="S249" s="284"/>
      <c r="T249" s="306"/>
      <c r="U249" s="106"/>
      <c r="V249" s="307"/>
      <c r="W249" s="238"/>
      <c r="X249" s="284"/>
      <c r="Y249" s="306"/>
      <c r="Z249" s="106"/>
      <c r="AA249" s="307"/>
      <c r="AB249" s="238"/>
      <c r="AC249" s="284"/>
    </row>
    <row r="250" spans="1:29" ht="13.5" thickBot="1">
      <c r="A250" s="76"/>
      <c r="B250" s="308"/>
      <c r="C250" s="109" t="s">
        <v>29</v>
      </c>
      <c r="D250" s="121">
        <f>D241-D248</f>
        <v>2890.6444056299465</v>
      </c>
      <c r="F250" s="308"/>
      <c r="G250" s="109" t="s">
        <v>29</v>
      </c>
      <c r="H250" s="121">
        <f>H241-H248</f>
        <v>3423.3665196756506</v>
      </c>
      <c r="I250" s="279">
        <f t="shared" si="47"/>
        <v>532.7221140457041</v>
      </c>
      <c r="J250" s="308"/>
      <c r="K250" s="109" t="s">
        <v>29</v>
      </c>
      <c r="L250" s="121">
        <f>L241-L248</f>
        <v>3647.670567694895</v>
      </c>
      <c r="M250" s="279">
        <f>L250-H250</f>
        <v>224.30404801924442</v>
      </c>
      <c r="N250" s="287">
        <f t="shared" si="49"/>
        <v>757.0261620649485</v>
      </c>
      <c r="O250" s="308"/>
      <c r="P250" s="109" t="s">
        <v>29</v>
      </c>
      <c r="Q250" s="121">
        <f>Q241-Q248</f>
        <v>3776.645395305961</v>
      </c>
      <c r="R250" s="279">
        <f>Q250-M250</f>
        <v>3552.3413472867164</v>
      </c>
      <c r="S250" s="287">
        <f>Q250-I250</f>
        <v>3243.9232812602568</v>
      </c>
      <c r="T250" s="308"/>
      <c r="U250" s="109" t="s">
        <v>29</v>
      </c>
      <c r="V250" s="121">
        <f>V241-V248</f>
        <v>3900.012621716545</v>
      </c>
      <c r="W250" s="279">
        <f>V250-R250</f>
        <v>347.6712744298284</v>
      </c>
      <c r="X250" s="287">
        <f>V250-N250</f>
        <v>3142.9864596515963</v>
      </c>
      <c r="Y250" s="308"/>
      <c r="Z250" s="109" t="s">
        <v>29</v>
      </c>
      <c r="AA250" s="121">
        <f>AA241-AA248</f>
        <v>4046.931773169151</v>
      </c>
      <c r="AB250" s="279">
        <f>AA250-W250</f>
        <v>3699.2604987393224</v>
      </c>
      <c r="AC250" s="287">
        <f>AA250-S250</f>
        <v>803.008491908894</v>
      </c>
    </row>
    <row r="251" spans="1:3" ht="12.75">
      <c r="A251" s="76"/>
      <c r="B251" s="76"/>
      <c r="C251" s="76"/>
    </row>
    <row r="252" spans="1:29" ht="18">
      <c r="A252" s="76"/>
      <c r="B252" s="76"/>
      <c r="C252" s="275"/>
      <c r="D252" s="276"/>
      <c r="E252" s="76"/>
      <c r="F252" s="277"/>
      <c r="G252" s="235" t="s">
        <v>419</v>
      </c>
      <c r="H252" s="236">
        <f>H250-D250</f>
        <v>532.7221140457041</v>
      </c>
      <c r="J252" s="277"/>
      <c r="K252" s="235" t="s">
        <v>419</v>
      </c>
      <c r="L252" s="236">
        <f>L250-H250</f>
        <v>224.30404801924442</v>
      </c>
      <c r="M252" s="280" t="s">
        <v>457</v>
      </c>
      <c r="N252" s="281">
        <f>L250-D250</f>
        <v>757.0261620649485</v>
      </c>
      <c r="O252" s="277"/>
      <c r="P252" s="235" t="s">
        <v>419</v>
      </c>
      <c r="Q252" s="236">
        <f>Q250-L250</f>
        <v>128.97482761106585</v>
      </c>
      <c r="R252" s="280" t="s">
        <v>457</v>
      </c>
      <c r="S252" s="281">
        <f>Q250-D250</f>
        <v>886.0009896760143</v>
      </c>
      <c r="T252" s="277"/>
      <c r="U252" s="235" t="s">
        <v>419</v>
      </c>
      <c r="V252" s="236">
        <f>V250-L250</f>
        <v>252.3420540216498</v>
      </c>
      <c r="W252" s="280" t="s">
        <v>457</v>
      </c>
      <c r="X252" s="281">
        <f>V250-D250</f>
        <v>1009.3682160865983</v>
      </c>
      <c r="Y252" s="277"/>
      <c r="Z252" s="235" t="s">
        <v>419</v>
      </c>
      <c r="AA252" s="236">
        <f>AA250-L250</f>
        <v>399.2612054742558</v>
      </c>
      <c r="AB252" s="280" t="s">
        <v>457</v>
      </c>
      <c r="AC252" s="281">
        <f>AA250-D250</f>
        <v>1156.2873675392043</v>
      </c>
    </row>
    <row r="253" spans="1:29" ht="18">
      <c r="A253" s="76"/>
      <c r="B253" s="76"/>
      <c r="C253" s="275"/>
      <c r="D253" s="278"/>
      <c r="E253" s="76"/>
      <c r="F253" s="275"/>
      <c r="G253" s="235" t="s">
        <v>420</v>
      </c>
      <c r="H253" s="237">
        <f>H252/D250</f>
        <v>0.18429181846378304</v>
      </c>
      <c r="J253" s="275"/>
      <c r="K253" s="235" t="s">
        <v>420</v>
      </c>
      <c r="L253" s="237">
        <f>L252/H250</f>
        <v>0.06552148206453111</v>
      </c>
      <c r="M253" s="282" t="s">
        <v>458</v>
      </c>
      <c r="N253" s="283">
        <f>N252/D250</f>
        <v>0.2618883736064287</v>
      </c>
      <c r="O253" s="275"/>
      <c r="P253" s="235" t="s">
        <v>420</v>
      </c>
      <c r="Q253" s="237">
        <f>Q252/L250</f>
        <v>0.03535813479246566</v>
      </c>
      <c r="R253" s="282" t="s">
        <v>458</v>
      </c>
      <c r="S253" s="283">
        <f>S252/D250</f>
        <v>0.3065063928134501</v>
      </c>
      <c r="T253" s="275"/>
      <c r="U253" s="235" t="s">
        <v>420</v>
      </c>
      <c r="V253" s="237">
        <f>V252/L250</f>
        <v>0.06917895937656304</v>
      </c>
      <c r="W253" s="282" t="s">
        <v>458</v>
      </c>
      <c r="X253" s="283">
        <f>X252/D250</f>
        <v>0.34918449814190505</v>
      </c>
      <c r="Y253" s="275"/>
      <c r="Z253" s="235" t="s">
        <v>420</v>
      </c>
      <c r="AA253" s="237">
        <f>AA252/L250</f>
        <v>0.1094564868358067</v>
      </c>
      <c r="AB253" s="282" t="s">
        <v>458</v>
      </c>
      <c r="AC253" s="283">
        <f>AC252/D250</f>
        <v>0.4000102417603383</v>
      </c>
    </row>
    <row r="254" spans="1:29" ht="18.75" thickBot="1">
      <c r="A254" s="76"/>
      <c r="B254" s="76"/>
      <c r="C254" s="76"/>
      <c r="D254" s="76"/>
      <c r="E254" s="76"/>
      <c r="F254" s="76"/>
      <c r="G254" s="275"/>
      <c r="H254" s="278"/>
      <c r="I254" s="12"/>
      <c r="J254" s="177"/>
      <c r="K254" s="275"/>
      <c r="L254" s="278"/>
      <c r="M254" s="44" t="s">
        <v>493</v>
      </c>
      <c r="N254" s="44"/>
      <c r="O254" s="177"/>
      <c r="P254" s="275"/>
      <c r="Q254" s="278"/>
      <c r="R254" s="44" t="s">
        <v>493</v>
      </c>
      <c r="S254" s="422"/>
      <c r="T254" s="177"/>
      <c r="U254" s="275"/>
      <c r="V254" s="278"/>
      <c r="W254" s="44" t="s">
        <v>493</v>
      </c>
      <c r="X254" s="422"/>
      <c r="Y254" s="177"/>
      <c r="Z254" s="275"/>
      <c r="AA254" s="278"/>
      <c r="AB254" s="44" t="s">
        <v>493</v>
      </c>
      <c r="AC254" s="422"/>
    </row>
    <row r="255" spans="1:8" ht="16.5" thickTop="1">
      <c r="A255" s="76"/>
      <c r="B255" s="423" t="s">
        <v>11</v>
      </c>
      <c r="C255" s="424"/>
      <c r="D255" s="431"/>
      <c r="E255" s="76"/>
      <c r="F255" s="76"/>
      <c r="G255" s="76"/>
      <c r="H255" s="15"/>
    </row>
    <row r="256" spans="1:8" ht="15.75">
      <c r="A256" s="76"/>
      <c r="B256" s="425" t="s">
        <v>495</v>
      </c>
      <c r="C256" s="426"/>
      <c r="D256" s="432"/>
      <c r="E256" s="76"/>
      <c r="F256" s="76"/>
      <c r="G256" s="76"/>
      <c r="H256" s="15"/>
    </row>
    <row r="257" spans="1:7" ht="15.75">
      <c r="A257" s="76"/>
      <c r="B257" s="425" t="s">
        <v>13</v>
      </c>
      <c r="C257" s="426"/>
      <c r="D257" s="432"/>
      <c r="E257" s="76"/>
      <c r="F257" s="76"/>
      <c r="G257" s="76"/>
    </row>
    <row r="258" spans="1:7" ht="15.75">
      <c r="A258" s="76"/>
      <c r="B258" s="425" t="s">
        <v>379</v>
      </c>
      <c r="C258" s="426"/>
      <c r="D258" s="432"/>
      <c r="E258" s="76"/>
      <c r="F258" s="76"/>
      <c r="G258" s="76"/>
    </row>
    <row r="259" spans="1:7" ht="15.75">
      <c r="A259" s="76"/>
      <c r="B259" s="427" t="s">
        <v>409</v>
      </c>
      <c r="C259" s="426"/>
      <c r="D259" s="432"/>
      <c r="E259" s="76"/>
      <c r="F259" s="76"/>
      <c r="G259" s="76"/>
    </row>
    <row r="260" spans="1:7" ht="15.75">
      <c r="A260" s="76"/>
      <c r="B260" s="428" t="s">
        <v>380</v>
      </c>
      <c r="C260" s="426"/>
      <c r="D260" s="432"/>
      <c r="E260" s="76"/>
      <c r="F260" s="76"/>
      <c r="G260" s="76"/>
    </row>
    <row r="261" spans="1:7" ht="15.75">
      <c r="A261" s="449"/>
      <c r="B261" s="448" t="s">
        <v>496</v>
      </c>
      <c r="C261" s="426"/>
      <c r="D261" s="432"/>
      <c r="E261" s="76"/>
      <c r="F261" s="76"/>
      <c r="G261" s="76"/>
    </row>
    <row r="262" spans="1:7" ht="15.75" thickBot="1">
      <c r="A262" s="76"/>
      <c r="B262" s="429" t="s">
        <v>407</v>
      </c>
      <c r="C262" s="430"/>
      <c r="D262" s="433"/>
      <c r="E262" s="76"/>
      <c r="F262" s="76"/>
      <c r="G262" s="76"/>
    </row>
    <row r="263" spans="1:7" ht="13.5" thickTop="1">
      <c r="A263" s="76"/>
      <c r="B263" s="76"/>
      <c r="C263" s="76"/>
      <c r="D263" s="76"/>
      <c r="E263" s="76"/>
      <c r="F263" s="76"/>
      <c r="G263" s="76"/>
    </row>
    <row r="264" spans="1:7" ht="12.75">
      <c r="A264" s="76"/>
      <c r="B264" s="76"/>
      <c r="C264" s="76"/>
      <c r="D264" s="76"/>
      <c r="E264" s="76"/>
      <c r="F264" s="76"/>
      <c r="G264" s="76"/>
    </row>
  </sheetData>
  <sheetProtection password="C9B5" sheet="1" objects="1" scenarios="1" selectLockedCell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47" r:id="rId1" display="www.agmeruruguay.com.ar"/>
    <hyperlink ref="D11" location="Cargos!A1" display="Cargos"/>
    <hyperlink ref="B260" r:id="rId2" display="www.agmeruruguay.com.ar"/>
    <hyperlink ref="B149" r:id="rId3" display="www.celestecompromiso.com.ar"/>
    <hyperlink ref="B262" r:id="rId4" display="www.celestecompromiso.com.ar"/>
    <hyperlink ref="B146" r:id="rId5" display="victorhutt@victorhutt.com.ar"/>
    <hyperlink ref="B259" r:id="rId6" display="victorhutt@victorhutt.com.ar"/>
    <hyperlink ref="B148" r:id="rId7" display="www.porunagmerdetodos.com.ar"/>
    <hyperlink ref="B261" r:id="rId8" display="www.porunagmerdetodos.com.ar"/>
  </hyperlinks>
  <printOptions/>
  <pageMargins left="0.75" right="0.75" top="1" bottom="1" header="0" footer="0"/>
  <pageSetup horizontalDpi="1200" verticalDpi="1200"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90"/>
  <sheetViews>
    <sheetView showGridLines="0" zoomScale="75" zoomScaleNormal="75" workbookViewId="0" topLeftCell="A1">
      <pane ySplit="1" topLeftCell="BM2" activePane="bottomLeft" state="frozen"/>
      <selection pane="topLeft" activeCell="C1" sqref="C1"/>
      <selection pane="bottomLeft" activeCell="C1" sqref="C1"/>
    </sheetView>
  </sheetViews>
  <sheetFormatPr defaultColWidth="11.421875" defaultRowHeight="12.75"/>
  <cols>
    <col min="1" max="1" width="13.8515625" style="0" hidden="1" customWidth="1"/>
    <col min="2" max="2" width="0" style="0" hidden="1" customWidth="1"/>
    <col min="3" max="3" width="16.421875" style="0" customWidth="1"/>
    <col min="4" max="4" width="13.00390625" style="0" customWidth="1"/>
    <col min="5" max="5" width="23.7109375" style="0" customWidth="1"/>
    <col min="6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47" customFormat="1" ht="18.75" thickBot="1">
      <c r="C1" s="248"/>
      <c r="D1" s="249" t="s">
        <v>431</v>
      </c>
      <c r="E1" s="250" t="s">
        <v>432</v>
      </c>
      <c r="F1" s="251" t="s">
        <v>433</v>
      </c>
      <c r="G1" s="252" t="s">
        <v>434</v>
      </c>
      <c r="H1" s="253" t="s">
        <v>435</v>
      </c>
    </row>
    <row r="2" spans="3:14" ht="18.75" thickTop="1">
      <c r="C2" s="388"/>
      <c r="D2" s="38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3:14" ht="18">
      <c r="C3" s="389" t="s">
        <v>410</v>
      </c>
      <c r="D3" s="38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6:20" ht="15.75" hidden="1">
      <c r="F4" t="s">
        <v>435</v>
      </c>
      <c r="G4" s="11" t="s">
        <v>439</v>
      </c>
      <c r="H4" s="11" t="s">
        <v>440</v>
      </c>
      <c r="I4" s="144" t="s">
        <v>441</v>
      </c>
      <c r="J4" s="144" t="s">
        <v>442</v>
      </c>
      <c r="K4" s="144" t="s">
        <v>443</v>
      </c>
      <c r="L4" s="144" t="s">
        <v>444</v>
      </c>
      <c r="M4" s="144" t="s">
        <v>445</v>
      </c>
      <c r="N4" s="144" t="s">
        <v>446</v>
      </c>
      <c r="O4" s="164" t="s">
        <v>447</v>
      </c>
      <c r="P4" s="164">
        <v>1</v>
      </c>
      <c r="Q4" s="164">
        <v>2</v>
      </c>
      <c r="R4" s="164">
        <v>3</v>
      </c>
      <c r="S4" s="164">
        <v>4</v>
      </c>
      <c r="T4" s="164">
        <v>5</v>
      </c>
    </row>
    <row r="5" spans="5:20" ht="16.5" hidden="1" thickBot="1">
      <c r="E5" s="130">
        <v>0</v>
      </c>
      <c r="F5" s="145">
        <f aca="true" t="shared" si="0" ref="F5:F16">IF(puntosproljorvarios1&lt;620,T5,O5)</f>
        <v>80</v>
      </c>
      <c r="G5" s="145">
        <v>80</v>
      </c>
      <c r="H5" s="265">
        <v>80</v>
      </c>
      <c r="I5" s="165">
        <v>0</v>
      </c>
      <c r="J5" s="166">
        <v>0</v>
      </c>
      <c r="K5" s="167">
        <v>0</v>
      </c>
      <c r="L5" s="266">
        <v>0</v>
      </c>
      <c r="M5" s="267">
        <v>80</v>
      </c>
      <c r="N5" s="268">
        <v>80</v>
      </c>
      <c r="O5" s="168">
        <f aca="true" t="shared" si="1" ref="O5:O16">IF(punbasjubvarios1&gt;971,N5,M5)</f>
        <v>80</v>
      </c>
      <c r="P5" s="168">
        <f aca="true" t="shared" si="2" ref="P5:P16">IF(punbasjubvarios1&lt;972,G5,H5)</f>
        <v>80</v>
      </c>
      <c r="Q5" s="168">
        <f aca="true" t="shared" si="3" ref="Q5:Q16">IF(punbasjubvarios1&lt;1170,P5,I5)</f>
        <v>80</v>
      </c>
      <c r="R5" s="168">
        <f aca="true" t="shared" si="4" ref="R5:R16">IF(punbasjubvarios1&lt;1401,Q5,J5)</f>
        <v>80</v>
      </c>
      <c r="S5" s="168">
        <f aca="true" t="shared" si="5" ref="S5:S16">IF(punbasjubvarios1&lt;1943,R5,K5)</f>
        <v>80</v>
      </c>
      <c r="T5" s="168">
        <f aca="true" t="shared" si="6" ref="T5:T16">IF(punbasjubvarios1&lt;=2220,S5,L5)</f>
        <v>80</v>
      </c>
    </row>
    <row r="6" spans="5:20" ht="16.5" hidden="1" thickBot="1">
      <c r="E6" s="131">
        <v>0.1</v>
      </c>
      <c r="F6" s="145">
        <f t="shared" si="0"/>
        <v>90</v>
      </c>
      <c r="G6" s="145">
        <v>90</v>
      </c>
      <c r="H6" s="270">
        <v>90</v>
      </c>
      <c r="I6" s="165">
        <v>0</v>
      </c>
      <c r="J6" s="166">
        <v>0</v>
      </c>
      <c r="K6" s="167">
        <v>0</v>
      </c>
      <c r="L6" s="266">
        <v>0</v>
      </c>
      <c r="M6" s="267">
        <v>90</v>
      </c>
      <c r="N6" s="268">
        <v>90</v>
      </c>
      <c r="O6" s="168">
        <f t="shared" si="1"/>
        <v>90</v>
      </c>
      <c r="P6" s="168">
        <f t="shared" si="2"/>
        <v>90</v>
      </c>
      <c r="Q6" s="168">
        <f t="shared" si="3"/>
        <v>90</v>
      </c>
      <c r="R6" s="168">
        <f t="shared" si="4"/>
        <v>90</v>
      </c>
      <c r="S6" s="168">
        <f t="shared" si="5"/>
        <v>90</v>
      </c>
      <c r="T6" s="168">
        <f t="shared" si="6"/>
        <v>90</v>
      </c>
    </row>
    <row r="7" spans="5:20" ht="16.5" hidden="1" thickBot="1">
      <c r="E7" s="132">
        <v>0.15</v>
      </c>
      <c r="F7" s="145">
        <f t="shared" si="0"/>
        <v>180</v>
      </c>
      <c r="G7" s="145">
        <v>180</v>
      </c>
      <c r="H7" s="270">
        <v>180</v>
      </c>
      <c r="I7" s="169">
        <v>240</v>
      </c>
      <c r="J7" s="170">
        <v>193</v>
      </c>
      <c r="K7" s="171">
        <v>180</v>
      </c>
      <c r="L7" s="266">
        <v>0</v>
      </c>
      <c r="M7" s="267">
        <v>220</v>
      </c>
      <c r="N7" s="268">
        <v>220</v>
      </c>
      <c r="O7" s="168">
        <f t="shared" si="1"/>
        <v>220</v>
      </c>
      <c r="P7" s="168">
        <f t="shared" si="2"/>
        <v>180</v>
      </c>
      <c r="Q7" s="168">
        <f t="shared" si="3"/>
        <v>180</v>
      </c>
      <c r="R7" s="168">
        <f t="shared" si="4"/>
        <v>180</v>
      </c>
      <c r="S7" s="168">
        <f t="shared" si="5"/>
        <v>180</v>
      </c>
      <c r="T7" s="168">
        <f t="shared" si="6"/>
        <v>180</v>
      </c>
    </row>
    <row r="8" spans="5:20" ht="16.5" hidden="1" thickBot="1">
      <c r="E8" s="132">
        <v>0.3</v>
      </c>
      <c r="F8" s="145">
        <f t="shared" si="0"/>
        <v>225</v>
      </c>
      <c r="G8" s="145">
        <v>225</v>
      </c>
      <c r="H8" s="270">
        <v>195</v>
      </c>
      <c r="I8" s="169">
        <v>240</v>
      </c>
      <c r="J8" s="170">
        <v>193</v>
      </c>
      <c r="K8" s="171">
        <v>180</v>
      </c>
      <c r="L8" s="266">
        <v>0</v>
      </c>
      <c r="M8" s="267">
        <v>380</v>
      </c>
      <c r="N8" s="268">
        <v>350</v>
      </c>
      <c r="O8" s="168">
        <f t="shared" si="1"/>
        <v>380</v>
      </c>
      <c r="P8" s="168">
        <f t="shared" si="2"/>
        <v>225</v>
      </c>
      <c r="Q8" s="168">
        <f t="shared" si="3"/>
        <v>225</v>
      </c>
      <c r="R8" s="168">
        <f t="shared" si="4"/>
        <v>225</v>
      </c>
      <c r="S8" s="168">
        <f t="shared" si="5"/>
        <v>225</v>
      </c>
      <c r="T8" s="168">
        <f t="shared" si="6"/>
        <v>225</v>
      </c>
    </row>
    <row r="9" spans="5:20" ht="16.5" hidden="1" thickBot="1">
      <c r="E9" s="132">
        <v>0.4</v>
      </c>
      <c r="F9" s="145">
        <f t="shared" si="0"/>
        <v>250</v>
      </c>
      <c r="G9" s="145">
        <v>250</v>
      </c>
      <c r="H9" s="270">
        <v>210</v>
      </c>
      <c r="I9" s="169">
        <v>250</v>
      </c>
      <c r="J9" s="170">
        <v>200</v>
      </c>
      <c r="K9" s="171">
        <v>180</v>
      </c>
      <c r="L9" s="266">
        <v>140</v>
      </c>
      <c r="M9" s="267">
        <v>440</v>
      </c>
      <c r="N9" s="268">
        <v>400</v>
      </c>
      <c r="O9" s="168">
        <f t="shared" si="1"/>
        <v>440</v>
      </c>
      <c r="P9" s="168">
        <f t="shared" si="2"/>
        <v>250</v>
      </c>
      <c r="Q9" s="168">
        <f t="shared" si="3"/>
        <v>250</v>
      </c>
      <c r="R9" s="168">
        <f t="shared" si="4"/>
        <v>250</v>
      </c>
      <c r="S9" s="168">
        <f t="shared" si="5"/>
        <v>250</v>
      </c>
      <c r="T9" s="168">
        <f t="shared" si="6"/>
        <v>250</v>
      </c>
    </row>
    <row r="10" spans="5:20" ht="16.5" hidden="1" thickBot="1">
      <c r="E10" s="132">
        <v>0.5</v>
      </c>
      <c r="F10" s="145">
        <f t="shared" si="0"/>
        <v>270</v>
      </c>
      <c r="G10" s="145">
        <v>270</v>
      </c>
      <c r="H10" s="270">
        <v>230</v>
      </c>
      <c r="I10" s="169">
        <v>250</v>
      </c>
      <c r="J10" s="148">
        <v>200</v>
      </c>
      <c r="K10" s="171">
        <v>180</v>
      </c>
      <c r="L10" s="266">
        <v>140</v>
      </c>
      <c r="M10" s="267">
        <v>475</v>
      </c>
      <c r="N10" s="268">
        <v>435</v>
      </c>
      <c r="O10" s="168">
        <f t="shared" si="1"/>
        <v>475</v>
      </c>
      <c r="P10" s="168">
        <f t="shared" si="2"/>
        <v>270</v>
      </c>
      <c r="Q10" s="168">
        <f t="shared" si="3"/>
        <v>270</v>
      </c>
      <c r="R10" s="168">
        <f t="shared" si="4"/>
        <v>270</v>
      </c>
      <c r="S10" s="168">
        <f t="shared" si="5"/>
        <v>270</v>
      </c>
      <c r="T10" s="168">
        <f t="shared" si="6"/>
        <v>270</v>
      </c>
    </row>
    <row r="11" spans="5:20" ht="16.5" hidden="1" thickBot="1">
      <c r="E11" s="132">
        <v>0.6</v>
      </c>
      <c r="F11" s="145">
        <f t="shared" si="0"/>
        <v>320</v>
      </c>
      <c r="G11" s="145">
        <v>320</v>
      </c>
      <c r="H11" s="270">
        <v>260</v>
      </c>
      <c r="I11" s="169">
        <v>260</v>
      </c>
      <c r="J11" s="148">
        <v>203</v>
      </c>
      <c r="K11" s="171">
        <v>190</v>
      </c>
      <c r="L11" s="266">
        <v>160</v>
      </c>
      <c r="M11" s="267">
        <v>510</v>
      </c>
      <c r="N11" s="268">
        <v>450</v>
      </c>
      <c r="O11" s="168">
        <f t="shared" si="1"/>
        <v>510</v>
      </c>
      <c r="P11" s="168">
        <f t="shared" si="2"/>
        <v>320</v>
      </c>
      <c r="Q11" s="168">
        <f t="shared" si="3"/>
        <v>320</v>
      </c>
      <c r="R11" s="168">
        <f t="shared" si="4"/>
        <v>320</v>
      </c>
      <c r="S11" s="168">
        <f t="shared" si="5"/>
        <v>320</v>
      </c>
      <c r="T11" s="168">
        <f t="shared" si="6"/>
        <v>320</v>
      </c>
    </row>
    <row r="12" spans="5:20" ht="16.5" hidden="1" thickBot="1">
      <c r="E12" s="132">
        <v>0.7</v>
      </c>
      <c r="F12" s="145">
        <f t="shared" si="0"/>
        <v>345</v>
      </c>
      <c r="G12" s="145">
        <v>345</v>
      </c>
      <c r="H12" s="270">
        <v>285</v>
      </c>
      <c r="I12" s="169">
        <v>365</v>
      </c>
      <c r="J12" s="148">
        <v>230</v>
      </c>
      <c r="K12" s="171">
        <v>190</v>
      </c>
      <c r="L12" s="266">
        <v>160</v>
      </c>
      <c r="M12" s="267">
        <v>525</v>
      </c>
      <c r="N12" s="268">
        <v>465</v>
      </c>
      <c r="O12" s="168">
        <f t="shared" si="1"/>
        <v>525</v>
      </c>
      <c r="P12" s="168">
        <f t="shared" si="2"/>
        <v>345</v>
      </c>
      <c r="Q12" s="168">
        <f t="shared" si="3"/>
        <v>345</v>
      </c>
      <c r="R12" s="168">
        <f t="shared" si="4"/>
        <v>345</v>
      </c>
      <c r="S12" s="168">
        <f t="shared" si="5"/>
        <v>345</v>
      </c>
      <c r="T12" s="168">
        <f t="shared" si="6"/>
        <v>345</v>
      </c>
    </row>
    <row r="13" spans="5:20" ht="16.5" hidden="1" thickBot="1">
      <c r="E13" s="132">
        <v>0.8</v>
      </c>
      <c r="F13" s="145">
        <f t="shared" si="0"/>
        <v>425</v>
      </c>
      <c r="G13" s="145">
        <v>425</v>
      </c>
      <c r="H13" s="270">
        <v>345</v>
      </c>
      <c r="I13" s="147">
        <v>395</v>
      </c>
      <c r="J13" s="148">
        <v>340</v>
      </c>
      <c r="K13" s="172">
        <v>280</v>
      </c>
      <c r="L13" s="272">
        <v>180</v>
      </c>
      <c r="M13" s="267">
        <v>555</v>
      </c>
      <c r="N13" s="268">
        <v>475</v>
      </c>
      <c r="O13" s="168">
        <f t="shared" si="1"/>
        <v>555</v>
      </c>
      <c r="P13" s="168">
        <f t="shared" si="2"/>
        <v>425</v>
      </c>
      <c r="Q13" s="168">
        <f t="shared" si="3"/>
        <v>425</v>
      </c>
      <c r="R13" s="168">
        <f t="shared" si="4"/>
        <v>425</v>
      </c>
      <c r="S13" s="168">
        <f t="shared" si="5"/>
        <v>425</v>
      </c>
      <c r="T13" s="168">
        <f t="shared" si="6"/>
        <v>425</v>
      </c>
    </row>
    <row r="14" spans="5:20" ht="16.5" hidden="1" thickBot="1">
      <c r="E14" s="132">
        <v>1</v>
      </c>
      <c r="F14" s="145">
        <f t="shared" si="0"/>
        <v>535</v>
      </c>
      <c r="G14" s="145">
        <v>535</v>
      </c>
      <c r="H14" s="270">
        <v>435</v>
      </c>
      <c r="I14" s="147">
        <v>410</v>
      </c>
      <c r="J14" s="148">
        <v>330</v>
      </c>
      <c r="K14" s="172">
        <v>310</v>
      </c>
      <c r="L14" s="272">
        <v>180</v>
      </c>
      <c r="M14" s="267">
        <v>590</v>
      </c>
      <c r="N14" s="268">
        <v>490</v>
      </c>
      <c r="O14" s="168">
        <f t="shared" si="1"/>
        <v>590</v>
      </c>
      <c r="P14" s="168">
        <f t="shared" si="2"/>
        <v>535</v>
      </c>
      <c r="Q14" s="168">
        <f t="shared" si="3"/>
        <v>535</v>
      </c>
      <c r="R14" s="168">
        <f t="shared" si="4"/>
        <v>535</v>
      </c>
      <c r="S14" s="168">
        <f t="shared" si="5"/>
        <v>535</v>
      </c>
      <c r="T14" s="168">
        <f t="shared" si="6"/>
        <v>535</v>
      </c>
    </row>
    <row r="15" spans="1:20" ht="16.5" hidden="1" thickBot="1">
      <c r="A15">
        <v>1</v>
      </c>
      <c r="E15" s="132">
        <v>1.1</v>
      </c>
      <c r="F15" s="145">
        <f t="shared" si="0"/>
        <v>605</v>
      </c>
      <c r="G15" s="145">
        <v>605</v>
      </c>
      <c r="H15" s="270">
        <v>495</v>
      </c>
      <c r="I15" s="147">
        <v>430</v>
      </c>
      <c r="J15" s="148">
        <v>330</v>
      </c>
      <c r="K15" s="172">
        <v>320</v>
      </c>
      <c r="L15" s="272">
        <v>190</v>
      </c>
      <c r="M15" s="267">
        <v>615</v>
      </c>
      <c r="N15" s="268">
        <v>505</v>
      </c>
      <c r="O15" s="168">
        <f t="shared" si="1"/>
        <v>615</v>
      </c>
      <c r="P15" s="168">
        <f t="shared" si="2"/>
        <v>605</v>
      </c>
      <c r="Q15" s="168">
        <f t="shared" si="3"/>
        <v>605</v>
      </c>
      <c r="R15" s="168">
        <f t="shared" si="4"/>
        <v>605</v>
      </c>
      <c r="S15" s="168">
        <f t="shared" si="5"/>
        <v>605</v>
      </c>
      <c r="T15" s="168">
        <f t="shared" si="6"/>
        <v>605</v>
      </c>
    </row>
    <row r="16" spans="1:20" ht="16.5" hidden="1" thickBot="1">
      <c r="A16">
        <v>1</v>
      </c>
      <c r="E16" s="133">
        <v>1.2</v>
      </c>
      <c r="F16" s="145">
        <f t="shared" si="0"/>
        <v>620</v>
      </c>
      <c r="G16" s="145">
        <v>620</v>
      </c>
      <c r="H16" s="270">
        <v>510</v>
      </c>
      <c r="I16" s="147">
        <v>480</v>
      </c>
      <c r="J16" s="148">
        <v>335</v>
      </c>
      <c r="K16" s="172">
        <v>330</v>
      </c>
      <c r="L16" s="272">
        <v>190</v>
      </c>
      <c r="M16" s="267">
        <v>620</v>
      </c>
      <c r="N16" s="268">
        <v>510</v>
      </c>
      <c r="O16" s="168">
        <f t="shared" si="1"/>
        <v>620</v>
      </c>
      <c r="P16" s="168">
        <f t="shared" si="2"/>
        <v>620</v>
      </c>
      <c r="Q16" s="168">
        <f t="shared" si="3"/>
        <v>620</v>
      </c>
      <c r="R16" s="168">
        <f t="shared" si="4"/>
        <v>620</v>
      </c>
      <c r="S16" s="168">
        <f t="shared" si="5"/>
        <v>620</v>
      </c>
      <c r="T16" s="168">
        <f t="shared" si="6"/>
        <v>620</v>
      </c>
    </row>
    <row r="17" spans="5:20" s="315" customFormat="1" ht="15.75" hidden="1">
      <c r="E17" s="316"/>
      <c r="F17" s="181"/>
      <c r="G17" s="181"/>
      <c r="H17" s="317"/>
      <c r="I17" s="318"/>
      <c r="J17" s="318"/>
      <c r="K17" s="181"/>
      <c r="L17" s="12"/>
      <c r="M17" s="146"/>
      <c r="N17" s="146"/>
      <c r="O17" s="146"/>
      <c r="P17" s="146"/>
      <c r="Q17" s="146"/>
      <c r="R17" s="146"/>
      <c r="S17" s="146"/>
      <c r="T17" s="146"/>
    </row>
    <row r="18" spans="5:20" s="315" customFormat="1" ht="15.75" hidden="1">
      <c r="E18" s="316"/>
      <c r="F18" s="181" t="s">
        <v>436</v>
      </c>
      <c r="G18" s="181">
        <f>LOOKUP(F32,porantvar1,cod06cargosvar1)</f>
        <v>620</v>
      </c>
      <c r="H18" s="317"/>
      <c r="I18" s="318"/>
      <c r="J18" s="318"/>
      <c r="K18" s="181"/>
      <c r="L18" s="12"/>
      <c r="M18" s="146"/>
      <c r="N18" s="146"/>
      <c r="O18" s="146"/>
      <c r="P18" s="146"/>
      <c r="Q18" s="146"/>
      <c r="R18" s="146"/>
      <c r="S18" s="146"/>
      <c r="T18" s="146"/>
    </row>
    <row r="19" spans="5:20" s="315" customFormat="1" ht="15.75" hidden="1">
      <c r="E19" s="316"/>
      <c r="F19" s="181"/>
      <c r="G19" s="181"/>
      <c r="H19" s="317"/>
      <c r="I19" s="318"/>
      <c r="J19" s="318"/>
      <c r="K19" s="181"/>
      <c r="L19" s="12"/>
      <c r="M19" s="146"/>
      <c r="N19" s="146"/>
      <c r="O19" s="146"/>
      <c r="P19" s="146"/>
      <c r="Q19" s="146"/>
      <c r="R19" s="146"/>
      <c r="S19" s="146"/>
      <c r="T19" s="146"/>
    </row>
    <row r="20" spans="1:15" ht="12.75">
      <c r="A20" s="179">
        <v>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7" ht="20.25">
      <c r="A21" s="179">
        <v>1</v>
      </c>
      <c r="B21" s="50"/>
      <c r="C21" s="111"/>
      <c r="D21" s="111"/>
      <c r="E21" s="84" t="s">
        <v>427</v>
      </c>
      <c r="F21" s="11"/>
      <c r="G21" s="11"/>
      <c r="H21" s="111"/>
      <c r="I21" s="111"/>
      <c r="J21" s="111"/>
      <c r="K21" s="111"/>
      <c r="L21" s="111"/>
      <c r="M21" s="111"/>
      <c r="N21" s="180"/>
      <c r="O21" s="356"/>
      <c r="P21" s="181"/>
      <c r="Q21" s="181"/>
    </row>
    <row r="22" spans="1:17" ht="12.75">
      <c r="A22" s="179">
        <v>1</v>
      </c>
      <c r="B22" s="50"/>
      <c r="C22" s="50"/>
      <c r="D22" s="50"/>
      <c r="E22" s="50"/>
      <c r="F22" s="50"/>
      <c r="G22" s="50"/>
      <c r="H22" s="346"/>
      <c r="I22" s="50"/>
      <c r="J22" s="50"/>
      <c r="K22" s="50"/>
      <c r="L22" s="50"/>
      <c r="M22" s="50"/>
      <c r="N22" s="180"/>
      <c r="O22" s="356"/>
      <c r="P22" s="181"/>
      <c r="Q22" s="181"/>
    </row>
    <row r="23" spans="1:17" ht="12.75">
      <c r="A23" s="179">
        <v>1</v>
      </c>
      <c r="B23" s="179"/>
      <c r="C23" s="179"/>
      <c r="D23" s="45" t="s">
        <v>52</v>
      </c>
      <c r="E23" s="45" t="s">
        <v>356</v>
      </c>
      <c r="F23" s="45" t="s">
        <v>357</v>
      </c>
      <c r="G23" s="45" t="s">
        <v>358</v>
      </c>
      <c r="H23" s="45" t="s">
        <v>359</v>
      </c>
      <c r="I23" s="105" t="s">
        <v>452</v>
      </c>
      <c r="J23" s="50"/>
      <c r="K23" s="50"/>
      <c r="L23" s="50"/>
      <c r="M23" s="50"/>
      <c r="N23" s="180"/>
      <c r="O23" s="356"/>
      <c r="P23" s="181"/>
      <c r="Q23" s="181"/>
    </row>
    <row r="24" spans="1:17" ht="16.5" thickBot="1">
      <c r="A24" s="179">
        <v>1</v>
      </c>
      <c r="B24" s="179"/>
      <c r="C24" s="179"/>
      <c r="D24" s="123">
        <v>749</v>
      </c>
      <c r="E24" s="85">
        <f>LOOKUP(D24,[0]!numerocargo,[0]!puntosbasicoscargo)</f>
        <v>971</v>
      </c>
      <c r="F24" s="85">
        <f>LOOKUP(D24,[0]!numerocargo,[0]!tardifcargo)</f>
        <v>0</v>
      </c>
      <c r="G24" s="85">
        <f>LOOKUP(D24,[0]!numerocargo,[0]!proljorcargo)</f>
        <v>0</v>
      </c>
      <c r="H24" s="85">
        <f>LOOKUP(D24,[0]!numerocargo,[0]!jorcomcargo)</f>
        <v>0</v>
      </c>
      <c r="I24" s="45">
        <f>LOOKUP(D24,Cargos!A3:A314,puntoscompbasico)</f>
        <v>170</v>
      </c>
      <c r="J24" s="50"/>
      <c r="K24" s="50"/>
      <c r="L24" s="50"/>
      <c r="M24" s="50"/>
      <c r="N24" s="180"/>
      <c r="O24" s="356"/>
      <c r="P24" s="181"/>
      <c r="Q24" s="181"/>
    </row>
    <row r="25" spans="1:17" ht="13.5" thickBot="1">
      <c r="A25" s="179">
        <v>1</v>
      </c>
      <c r="B25" s="179"/>
      <c r="C25" s="179"/>
      <c r="D25" s="86" t="s">
        <v>53</v>
      </c>
      <c r="E25" s="87" t="str">
        <f>LOOKUP(D24,[0]!numerocargo,[0]!nombrecargo)</f>
        <v> MAESTRO DE GRADO</v>
      </c>
      <c r="F25" s="43"/>
      <c r="G25" s="43"/>
      <c r="H25" s="64"/>
      <c r="I25" s="12"/>
      <c r="J25" s="50"/>
      <c r="K25" s="50"/>
      <c r="L25" s="50"/>
      <c r="M25" s="50"/>
      <c r="N25" s="180"/>
      <c r="O25" s="356"/>
      <c r="P25" s="181"/>
      <c r="Q25" s="181"/>
    </row>
    <row r="26" spans="1:17" ht="13.5" hidden="1" thickBot="1">
      <c r="A26" s="179">
        <v>1</v>
      </c>
      <c r="B26" s="179"/>
      <c r="C26" s="179"/>
      <c r="D26" s="182"/>
      <c r="E26" s="10"/>
      <c r="F26" s="2"/>
      <c r="G26" s="2"/>
      <c r="H26" s="2"/>
      <c r="I26" s="139" t="s">
        <v>384</v>
      </c>
      <c r="J26" s="241"/>
      <c r="K26" s="241"/>
      <c r="L26" s="241"/>
      <c r="M26" s="50"/>
      <c r="N26" s="50"/>
      <c r="O26" s="50"/>
      <c r="P26" s="11"/>
      <c r="Q26" s="11"/>
    </row>
    <row r="27" spans="1:17" ht="19.5" thickBot="1" thickTop="1">
      <c r="A27" s="179">
        <v>1</v>
      </c>
      <c r="B27" s="179"/>
      <c r="C27" s="179"/>
      <c r="D27" s="183" t="s">
        <v>373</v>
      </c>
      <c r="E27" s="129"/>
      <c r="F27" s="129"/>
      <c r="G27" s="129"/>
      <c r="H27" s="184">
        <v>120</v>
      </c>
      <c r="I27" s="140">
        <f>H27/120</f>
        <v>1</v>
      </c>
      <c r="J27" s="242"/>
      <c r="K27" s="242"/>
      <c r="L27" s="242"/>
      <c r="M27" s="50"/>
      <c r="N27" s="50"/>
      <c r="O27" s="50"/>
      <c r="P27" s="11"/>
      <c r="Q27" s="11"/>
    </row>
    <row r="28" spans="1:17" ht="17.25" hidden="1" thickBot="1" thickTop="1">
      <c r="A28" s="179">
        <v>1</v>
      </c>
      <c r="B28" s="345"/>
      <c r="C28" s="346"/>
      <c r="D28" s="2"/>
      <c r="E28" s="2"/>
      <c r="F28" s="185"/>
      <c r="G28" s="12"/>
      <c r="H28" s="10"/>
      <c r="I28" s="12"/>
      <c r="J28" s="12"/>
      <c r="K28" s="12"/>
      <c r="L28" s="12"/>
      <c r="M28" s="2"/>
      <c r="N28" s="50"/>
      <c r="O28" s="50"/>
      <c r="P28" s="11"/>
      <c r="Q28" s="11"/>
    </row>
    <row r="29" spans="1:17" ht="17.25" thickBot="1" thickTop="1">
      <c r="A29" s="179">
        <v>1</v>
      </c>
      <c r="B29" s="345"/>
      <c r="C29" s="179"/>
      <c r="D29" s="127" t="s">
        <v>386</v>
      </c>
      <c r="E29" s="143">
        <v>0</v>
      </c>
      <c r="F29" s="185"/>
      <c r="G29" s="50"/>
      <c r="H29" s="346"/>
      <c r="I29" s="50"/>
      <c r="J29" s="50"/>
      <c r="K29" s="50"/>
      <c r="L29" s="50"/>
      <c r="M29" s="50"/>
      <c r="N29" s="50"/>
      <c r="O29" s="50"/>
      <c r="P29" s="11"/>
      <c r="Q29" s="11"/>
    </row>
    <row r="30" spans="1:17" ht="14.25" hidden="1" thickBot="1" thickTop="1">
      <c r="A30" s="179">
        <v>1</v>
      </c>
      <c r="B30" s="345"/>
      <c r="C30" s="346"/>
      <c r="D30" s="2"/>
      <c r="E30" s="2"/>
      <c r="F30" s="2"/>
      <c r="G30" s="50"/>
      <c r="H30" s="346"/>
      <c r="I30" s="50"/>
      <c r="J30" s="50"/>
      <c r="K30" s="50"/>
      <c r="L30" s="50"/>
      <c r="M30" s="50"/>
      <c r="N30" s="50"/>
      <c r="O30" s="50"/>
      <c r="P30" s="11"/>
      <c r="Q30" s="11"/>
    </row>
    <row r="31" spans="1:17" ht="17.25" thickBot="1" thickTop="1">
      <c r="A31" s="179">
        <v>1</v>
      </c>
      <c r="B31" s="50"/>
      <c r="C31" s="111"/>
      <c r="D31" s="88" t="s">
        <v>14</v>
      </c>
      <c r="E31" s="43"/>
      <c r="F31" s="89">
        <f>E24*indicesep07</f>
        <v>480.645</v>
      </c>
      <c r="G31" s="111"/>
      <c r="H31" s="111"/>
      <c r="I31" s="111"/>
      <c r="J31" s="111"/>
      <c r="K31" s="111"/>
      <c r="L31" s="111"/>
      <c r="M31" s="186"/>
      <c r="N31" s="186"/>
      <c r="O31" s="111"/>
      <c r="P31" s="11"/>
      <c r="Q31" s="11"/>
    </row>
    <row r="32" spans="1:17" ht="16.5" thickBot="1">
      <c r="A32" s="179">
        <v>1</v>
      </c>
      <c r="B32" s="50"/>
      <c r="C32" s="111"/>
      <c r="D32" s="88" t="s">
        <v>15</v>
      </c>
      <c r="E32" s="43"/>
      <c r="F32" s="126">
        <v>1.2</v>
      </c>
      <c r="G32" s="11" t="s">
        <v>16</v>
      </c>
      <c r="H32" s="11"/>
      <c r="I32" s="111"/>
      <c r="J32" s="111"/>
      <c r="K32" s="111"/>
      <c r="L32" s="111"/>
      <c r="M32" s="111"/>
      <c r="N32" s="186"/>
      <c r="O32" s="111"/>
      <c r="P32" s="11"/>
      <c r="Q32" s="11"/>
    </row>
    <row r="33" spans="1:17" ht="15.75">
      <c r="A33" s="179">
        <v>1</v>
      </c>
      <c r="B33" s="50"/>
      <c r="C33" s="111"/>
      <c r="D33" s="50"/>
      <c r="E33" s="50"/>
      <c r="F33" s="187"/>
      <c r="G33" s="111"/>
      <c r="H33" s="111"/>
      <c r="I33" s="111"/>
      <c r="J33" s="111"/>
      <c r="K33" s="111"/>
      <c r="L33" s="111"/>
      <c r="M33" s="111"/>
      <c r="N33" s="188"/>
      <c r="O33" s="111"/>
      <c r="P33" s="11"/>
      <c r="Q33" s="11"/>
    </row>
    <row r="34" spans="1:17" ht="18.75" thickBot="1">
      <c r="A34" s="179">
        <v>1</v>
      </c>
      <c r="B34" s="50"/>
      <c r="C34" s="111"/>
      <c r="D34" s="91" t="s">
        <v>17</v>
      </c>
      <c r="E34" s="91"/>
      <c r="F34" s="92">
        <f>E24</f>
        <v>971</v>
      </c>
      <c r="G34" s="11" t="s">
        <v>18</v>
      </c>
      <c r="H34" s="11"/>
      <c r="I34" s="90">
        <f>H24+G24</f>
        <v>0</v>
      </c>
      <c r="J34" s="90"/>
      <c r="K34" s="90"/>
      <c r="L34" s="90"/>
      <c r="M34" s="2"/>
      <c r="N34" s="11"/>
      <c r="O34" s="111"/>
      <c r="P34" s="11"/>
      <c r="Q34" s="11"/>
    </row>
    <row r="35" spans="1:17" ht="18" hidden="1">
      <c r="A35" s="179"/>
      <c r="B35" s="50"/>
      <c r="C35" s="111"/>
      <c r="D35" s="254"/>
      <c r="E35" s="254"/>
      <c r="F35" s="255"/>
      <c r="G35" s="11"/>
      <c r="H35" s="11"/>
      <c r="I35" s="90"/>
      <c r="J35" s="90"/>
      <c r="K35" s="90"/>
      <c r="L35" s="90"/>
      <c r="M35" s="2"/>
      <c r="N35" s="11"/>
      <c r="O35" s="111"/>
      <c r="P35" s="11"/>
      <c r="Q35" s="11"/>
    </row>
    <row r="36" spans="1:15" ht="15.75">
      <c r="A36" s="179"/>
      <c r="B36" s="50"/>
      <c r="C36" s="111"/>
      <c r="D36" s="11"/>
      <c r="E36" s="173" t="s">
        <v>455</v>
      </c>
      <c r="F36" s="11"/>
      <c r="G36" s="111"/>
      <c r="H36" s="11"/>
      <c r="I36" s="173" t="s">
        <v>461</v>
      </c>
      <c r="J36" s="11"/>
      <c r="K36" s="179"/>
      <c r="L36" s="11"/>
      <c r="M36" s="173" t="s">
        <v>473</v>
      </c>
      <c r="N36" s="11"/>
      <c r="O36" s="179"/>
    </row>
    <row r="37" spans="1:15" ht="12.75">
      <c r="A37" s="179">
        <v>1</v>
      </c>
      <c r="B37" s="50"/>
      <c r="C37" s="179"/>
      <c r="D37" s="18">
        <v>400</v>
      </c>
      <c r="E37" s="18" t="s">
        <v>19</v>
      </c>
      <c r="F37" s="94">
        <f>punbasjubvarios1*indicesep07*0.82*frac1</f>
        <v>394.1289</v>
      </c>
      <c r="G37" s="179"/>
      <c r="H37" s="18">
        <v>400</v>
      </c>
      <c r="I37" s="18" t="s">
        <v>19</v>
      </c>
      <c r="J37" s="94">
        <f>punbasjubvarios1*indicemar08*0.82*frac1</f>
        <v>469.7698</v>
      </c>
      <c r="K37" s="179"/>
      <c r="L37" s="18">
        <v>400</v>
      </c>
      <c r="M37" s="18" t="s">
        <v>19</v>
      </c>
      <c r="N37" s="94">
        <f>punbasjubvarios1*indicejul08*0.82*frac1</f>
        <v>501.61859999999996</v>
      </c>
      <c r="O37" s="179"/>
    </row>
    <row r="38" spans="1:15" ht="12.75">
      <c r="A38" s="179"/>
      <c r="B38" s="50"/>
      <c r="C38" s="179"/>
      <c r="D38" s="18" t="s">
        <v>463</v>
      </c>
      <c r="E38" s="18" t="s">
        <v>454</v>
      </c>
      <c r="F38" s="296">
        <v>0</v>
      </c>
      <c r="G38" s="179"/>
      <c r="H38" s="18" t="s">
        <v>463</v>
      </c>
      <c r="I38" s="18" t="s">
        <v>454</v>
      </c>
      <c r="J38" s="296">
        <f>compbasicovarios1*indicemar08*0.82*frac1</f>
        <v>82.246</v>
      </c>
      <c r="K38" s="179"/>
      <c r="L38" s="18" t="s">
        <v>463</v>
      </c>
      <c r="M38" s="18" t="s">
        <v>454</v>
      </c>
      <c r="N38" s="296">
        <f>compbasicovarios1*indicejul08*0.82*frac1</f>
        <v>87.82199999999999</v>
      </c>
      <c r="O38" s="179"/>
    </row>
    <row r="39" spans="1:15" ht="12.75" hidden="1">
      <c r="A39" s="179">
        <v>1</v>
      </c>
      <c r="B39" s="50"/>
      <c r="C39" s="179"/>
      <c r="D39" s="18">
        <v>404</v>
      </c>
      <c r="E39" s="18" t="s">
        <v>361</v>
      </c>
      <c r="F39" s="94">
        <f>J24*indicesep07*0.82*frac1</f>
        <v>0</v>
      </c>
      <c r="H39" s="18">
        <v>404</v>
      </c>
      <c r="I39" s="18" t="s">
        <v>361</v>
      </c>
      <c r="J39" s="94">
        <f>F24*indicemar08*0.82*frac1</f>
        <v>0</v>
      </c>
      <c r="L39" s="18">
        <v>404</v>
      </c>
      <c r="M39" s="18" t="s">
        <v>361</v>
      </c>
      <c r="N39" s="94">
        <f>F24*indicejul08*0.82*frac1</f>
        <v>0</v>
      </c>
      <c r="O39" s="179"/>
    </row>
    <row r="40" spans="1:15" ht="12.75" hidden="1">
      <c r="A40" s="179">
        <v>1</v>
      </c>
      <c r="B40" s="50"/>
      <c r="C40" s="179"/>
      <c r="D40" s="18">
        <v>406</v>
      </c>
      <c r="E40" s="18" t="s">
        <v>20</v>
      </c>
      <c r="F40" s="94">
        <f>(F37+F38+F39+F42)*F32</f>
        <v>472.95467999999994</v>
      </c>
      <c r="H40" s="18">
        <v>406</v>
      </c>
      <c r="I40" s="18" t="s">
        <v>20</v>
      </c>
      <c r="J40" s="94">
        <f>(J37+J38+J39+J42)*F32</f>
        <v>662.41896</v>
      </c>
      <c r="L40" s="18">
        <v>406</v>
      </c>
      <c r="M40" s="18" t="s">
        <v>20</v>
      </c>
      <c r="N40" s="94">
        <f>(N37+N38+N39+N42)*F32</f>
        <v>707.3287199999999</v>
      </c>
      <c r="O40" s="179"/>
    </row>
    <row r="41" spans="1:15" ht="12.75" hidden="1">
      <c r="A41" s="179">
        <v>1</v>
      </c>
      <c r="B41" s="50"/>
      <c r="C41" s="179"/>
      <c r="D41" s="18">
        <v>408</v>
      </c>
      <c r="E41" s="18" t="s">
        <v>385</v>
      </c>
      <c r="F41" s="94">
        <f>(F37+F42+F38+F39)*E29</f>
        <v>0</v>
      </c>
      <c r="H41" s="18">
        <v>408</v>
      </c>
      <c r="I41" s="18" t="s">
        <v>385</v>
      </c>
      <c r="J41" s="94">
        <f>(J37+J38+J39+J42)*E29</f>
        <v>0</v>
      </c>
      <c r="L41" s="18">
        <v>408</v>
      </c>
      <c r="M41" s="18" t="s">
        <v>385</v>
      </c>
      <c r="N41" s="94">
        <f>(N37+N38+N39+N42)*E29</f>
        <v>0</v>
      </c>
      <c r="O41" s="179"/>
    </row>
    <row r="42" spans="1:15" ht="12.75" hidden="1">
      <c r="A42" s="179">
        <v>1</v>
      </c>
      <c r="B42" s="50"/>
      <c r="C42" s="179"/>
      <c r="D42" s="18">
        <v>416</v>
      </c>
      <c r="E42" s="95" t="s">
        <v>362</v>
      </c>
      <c r="F42" s="94">
        <f>puntosproljorvarios1*proljorsep07*0.82*frac1</f>
        <v>0</v>
      </c>
      <c r="H42" s="18">
        <v>416</v>
      </c>
      <c r="I42" s="95" t="s">
        <v>362</v>
      </c>
      <c r="J42" s="94">
        <f>puntosproljorvarios1*proljormar08*0.82*frac1</f>
        <v>0</v>
      </c>
      <c r="L42" s="18">
        <v>416</v>
      </c>
      <c r="M42" s="95" t="s">
        <v>362</v>
      </c>
      <c r="N42" s="94">
        <f>puntosproljorvarios1*proljorjul08*0.82*frac1</f>
        <v>0</v>
      </c>
      <c r="O42" s="179"/>
    </row>
    <row r="43" spans="1:15" ht="12.75" hidden="1">
      <c r="A43" s="179">
        <v>1</v>
      </c>
      <c r="B43" s="50"/>
      <c r="C43" s="179"/>
      <c r="D43" s="18">
        <v>432</v>
      </c>
      <c r="E43" s="18" t="s">
        <v>383</v>
      </c>
      <c r="F43" s="94">
        <f>cod06sep07varios1*0.82*frac1</f>
        <v>508.4</v>
      </c>
      <c r="H43" s="18">
        <v>432</v>
      </c>
      <c r="I43" s="18" t="s">
        <v>383</v>
      </c>
      <c r="J43" s="94">
        <f>cod06sep07varios1*0.82*frac1</f>
        <v>508.4</v>
      </c>
      <c r="L43" s="18">
        <v>432</v>
      </c>
      <c r="M43" s="18" t="s">
        <v>383</v>
      </c>
      <c r="N43" s="94">
        <f>cod06sep07varios1*0.82*frac1</f>
        <v>508.4</v>
      </c>
      <c r="O43" s="179"/>
    </row>
    <row r="44" spans="1:15" ht="12.75" hidden="1">
      <c r="A44" s="179">
        <v>1</v>
      </c>
      <c r="B44" s="50"/>
      <c r="C44" s="179"/>
      <c r="D44" s="18">
        <v>434</v>
      </c>
      <c r="E44" s="18" t="s">
        <v>360</v>
      </c>
      <c r="F44" s="94">
        <f>(F37+F38+F39+F40+F42+F43+F41)*0.07*0.95</f>
        <v>91.46965807000001</v>
      </c>
      <c r="H44" s="18">
        <v>434</v>
      </c>
      <c r="I44" s="18" t="s">
        <v>360</v>
      </c>
      <c r="J44" s="94">
        <f>(J37+J38+J39+J40+J42+J43+J41)*0.07*0.95</f>
        <v>114.56851154000002</v>
      </c>
      <c r="L44" s="18">
        <v>434</v>
      </c>
      <c r="M44" s="18" t="s">
        <v>360</v>
      </c>
      <c r="N44" s="94">
        <f>(N37+N38+N39+N40+N42+N43+N41)*0.07*0.95</f>
        <v>120.04375978</v>
      </c>
      <c r="O44" s="179"/>
    </row>
    <row r="45" spans="1:15" ht="12.75" hidden="1">
      <c r="A45" s="179"/>
      <c r="B45" s="50"/>
      <c r="C45" s="179"/>
      <c r="D45" s="18"/>
      <c r="E45" s="96"/>
      <c r="F45" s="190"/>
      <c r="H45" s="18"/>
      <c r="I45" s="96"/>
      <c r="J45" s="190"/>
      <c r="L45" s="18"/>
      <c r="M45" s="96"/>
      <c r="N45" s="190"/>
      <c r="O45" s="179"/>
    </row>
    <row r="46" spans="1:15" ht="13.5" hidden="1" thickBot="1">
      <c r="A46" s="179">
        <v>1</v>
      </c>
      <c r="B46" s="50"/>
      <c r="C46" s="179"/>
      <c r="D46" s="18"/>
      <c r="E46" s="96" t="s">
        <v>381</v>
      </c>
      <c r="F46" s="124">
        <v>0</v>
      </c>
      <c r="H46" s="18"/>
      <c r="I46" s="96" t="s">
        <v>381</v>
      </c>
      <c r="J46" s="124">
        <v>0</v>
      </c>
      <c r="L46" s="18"/>
      <c r="M46" s="96" t="s">
        <v>381</v>
      </c>
      <c r="N46" s="124">
        <v>0</v>
      </c>
      <c r="O46" s="179"/>
    </row>
    <row r="47" spans="1:15" ht="16.5" hidden="1" thickBot="1">
      <c r="A47" s="179">
        <v>1</v>
      </c>
      <c r="B47" s="50"/>
      <c r="C47" s="179"/>
      <c r="D47" s="97"/>
      <c r="E47" s="98" t="s">
        <v>21</v>
      </c>
      <c r="F47" s="99">
        <f>SUM(F37:F46)</f>
        <v>1466.95323807</v>
      </c>
      <c r="H47" s="97"/>
      <c r="I47" s="98" t="s">
        <v>21</v>
      </c>
      <c r="J47" s="99">
        <f>SUM(J37:J46)</f>
        <v>1837.40327154</v>
      </c>
      <c r="L47" s="97"/>
      <c r="M47" s="98" t="s">
        <v>21</v>
      </c>
      <c r="N47" s="99">
        <f>SUM(N37:N46)</f>
        <v>1925.21307978</v>
      </c>
      <c r="O47" s="179"/>
    </row>
    <row r="48" spans="1:15" ht="12.75" hidden="1">
      <c r="A48" s="179">
        <v>1</v>
      </c>
      <c r="B48" s="50"/>
      <c r="C48" s="179"/>
      <c r="D48" s="18">
        <v>703</v>
      </c>
      <c r="E48" s="100" t="s">
        <v>363</v>
      </c>
      <c r="F48" s="101">
        <f>(F47-F46)*0.0025</f>
        <v>3.667383095175</v>
      </c>
      <c r="H48" s="18">
        <v>703</v>
      </c>
      <c r="I48" s="100" t="s">
        <v>363</v>
      </c>
      <c r="J48" s="101">
        <f>(J47-J46)*0.0025</f>
        <v>4.5935081788500005</v>
      </c>
      <c r="L48" s="18">
        <v>703</v>
      </c>
      <c r="M48" s="100" t="s">
        <v>363</v>
      </c>
      <c r="N48" s="101">
        <f>(N47-N46)*0.0025</f>
        <v>4.81303269945</v>
      </c>
      <c r="O48" s="179"/>
    </row>
    <row r="49" spans="1:15" ht="12.75" hidden="1">
      <c r="A49" s="179">
        <v>1</v>
      </c>
      <c r="B49" s="50"/>
      <c r="C49" s="179"/>
      <c r="D49" s="19">
        <v>707</v>
      </c>
      <c r="E49" s="102" t="s">
        <v>23</v>
      </c>
      <c r="F49" s="17">
        <f>(F47-F46)*0.03</f>
        <v>44.0085971421</v>
      </c>
      <c r="H49" s="19">
        <v>707</v>
      </c>
      <c r="I49" s="102" t="s">
        <v>23</v>
      </c>
      <c r="J49" s="17">
        <f>(J47-J46)*0.03</f>
        <v>55.1220981462</v>
      </c>
      <c r="L49" s="19">
        <v>707</v>
      </c>
      <c r="M49" s="102" t="s">
        <v>23</v>
      </c>
      <c r="N49" s="17">
        <f>(N47-N46)*0.03</f>
        <v>57.7563923934</v>
      </c>
      <c r="O49" s="179"/>
    </row>
    <row r="50" spans="1:15" ht="12.75" hidden="1">
      <c r="A50" s="179">
        <v>1</v>
      </c>
      <c r="B50" s="50"/>
      <c r="C50" s="179"/>
      <c r="D50" s="19">
        <v>709</v>
      </c>
      <c r="E50" s="102" t="s">
        <v>24</v>
      </c>
      <c r="F50" s="17">
        <f>(F47-F46)*0.0213</f>
        <v>31.246103970891</v>
      </c>
      <c r="H50" s="19">
        <v>709</v>
      </c>
      <c r="I50" s="102" t="s">
        <v>24</v>
      </c>
      <c r="J50" s="17">
        <f>(J47-J46)*0.0213</f>
        <v>39.136689683802004</v>
      </c>
      <c r="L50" s="19">
        <v>709</v>
      </c>
      <c r="M50" s="102" t="s">
        <v>24</v>
      </c>
      <c r="N50" s="17">
        <f>(N47-N46)*0.0213</f>
        <v>41.007038599314</v>
      </c>
      <c r="O50" s="179"/>
    </row>
    <row r="51" spans="1:15" ht="12.75" hidden="1">
      <c r="A51" s="179">
        <v>1</v>
      </c>
      <c r="B51" s="50"/>
      <c r="C51" s="179"/>
      <c r="D51" s="16">
        <v>710</v>
      </c>
      <c r="E51" s="102" t="s">
        <v>25</v>
      </c>
      <c r="F51" s="17">
        <f>(F47-F46)*0.00754</f>
        <v>11.0608274150478</v>
      </c>
      <c r="H51" s="16">
        <v>710</v>
      </c>
      <c r="I51" s="102" t="s">
        <v>25</v>
      </c>
      <c r="J51" s="17">
        <f>(J47-J46)*0.00754</f>
        <v>13.8540206674116</v>
      </c>
      <c r="L51" s="16">
        <v>710</v>
      </c>
      <c r="M51" s="102" t="s">
        <v>25</v>
      </c>
      <c r="N51" s="17">
        <f>(N47-N46)*0.00754</f>
        <v>14.5161066215412</v>
      </c>
      <c r="O51" s="179"/>
    </row>
    <row r="52" spans="1:15" ht="12.75" hidden="1">
      <c r="A52" s="179">
        <v>1</v>
      </c>
      <c r="B52" s="50"/>
      <c r="C52" s="179"/>
      <c r="D52" s="16">
        <v>713</v>
      </c>
      <c r="E52" s="102" t="s">
        <v>26</v>
      </c>
      <c r="F52" s="17">
        <f>(F47-F46)*0.007</f>
        <v>10.26867266649</v>
      </c>
      <c r="H52" s="16">
        <v>713</v>
      </c>
      <c r="I52" s="102" t="s">
        <v>26</v>
      </c>
      <c r="J52" s="17">
        <f>(J47-J46)*0.007</f>
        <v>12.861822900780002</v>
      </c>
      <c r="L52" s="16">
        <v>713</v>
      </c>
      <c r="M52" s="102" t="s">
        <v>26</v>
      </c>
      <c r="N52" s="17">
        <f>(N47-N46)*0.007</f>
        <v>13.476491558460001</v>
      </c>
      <c r="O52" s="179"/>
    </row>
    <row r="53" spans="1:15" ht="13.5" hidden="1" thickBot="1">
      <c r="A53" s="179">
        <v>1</v>
      </c>
      <c r="B53" s="50"/>
      <c r="C53" s="179"/>
      <c r="D53" s="16"/>
      <c r="E53" s="103" t="s">
        <v>27</v>
      </c>
      <c r="F53" s="49">
        <v>0</v>
      </c>
      <c r="H53" s="16"/>
      <c r="I53" s="103" t="s">
        <v>27</v>
      </c>
      <c r="J53" s="49">
        <v>0</v>
      </c>
      <c r="L53" s="16"/>
      <c r="M53" s="103" t="s">
        <v>27</v>
      </c>
      <c r="N53" s="49">
        <v>0</v>
      </c>
      <c r="O53" s="179"/>
    </row>
    <row r="54" spans="1:15" ht="16.5" hidden="1" thickBot="1">
      <c r="A54" s="179">
        <v>1</v>
      </c>
      <c r="B54" s="50"/>
      <c r="C54" s="179"/>
      <c r="D54" s="104"/>
      <c r="E54" s="98" t="s">
        <v>28</v>
      </c>
      <c r="F54" s="99">
        <f>SUM(F48:F53)</f>
        <v>100.2515842897038</v>
      </c>
      <c r="H54" s="104"/>
      <c r="I54" s="98" t="s">
        <v>28</v>
      </c>
      <c r="J54" s="99">
        <f>SUM(J48:J53)</f>
        <v>125.56813957704361</v>
      </c>
      <c r="L54" s="104"/>
      <c r="M54" s="98" t="s">
        <v>28</v>
      </c>
      <c r="N54" s="99">
        <f>SUM(N48:N53)</f>
        <v>131.5690618721652</v>
      </c>
      <c r="O54" s="179"/>
    </row>
    <row r="55" spans="1:15" ht="13.5" hidden="1" thickBot="1">
      <c r="A55" s="179">
        <v>1</v>
      </c>
      <c r="B55" s="50"/>
      <c r="C55" s="179"/>
      <c r="D55" s="105"/>
      <c r="E55" s="106"/>
      <c r="F55" s="107"/>
      <c r="H55" s="105"/>
      <c r="I55" s="106"/>
      <c r="J55" s="107"/>
      <c r="L55" s="105"/>
      <c r="M55" s="106"/>
      <c r="N55" s="107"/>
      <c r="O55" s="179"/>
    </row>
    <row r="56" spans="1:15" ht="16.5" hidden="1" thickBot="1">
      <c r="A56" s="179">
        <v>1</v>
      </c>
      <c r="B56" s="111"/>
      <c r="C56" s="179"/>
      <c r="D56" s="108"/>
      <c r="E56" s="109" t="s">
        <v>29</v>
      </c>
      <c r="F56" s="110">
        <f>F47-F54</f>
        <v>1366.7016537802963</v>
      </c>
      <c r="H56" s="108"/>
      <c r="I56" s="109" t="s">
        <v>29</v>
      </c>
      <c r="J56" s="110">
        <f>J47-J54</f>
        <v>1711.8351319629564</v>
      </c>
      <c r="L56" s="108"/>
      <c r="M56" s="109" t="s">
        <v>29</v>
      </c>
      <c r="N56" s="110">
        <f>N47-N54</f>
        <v>1793.644017907835</v>
      </c>
      <c r="O56" s="179"/>
    </row>
    <row r="57" spans="1:15" ht="15.75" hidden="1">
      <c r="A57" s="179"/>
      <c r="B57" s="111"/>
      <c r="C57" s="179"/>
      <c r="D57" s="4"/>
      <c r="E57" s="239"/>
      <c r="F57" s="244"/>
      <c r="O57" s="179"/>
    </row>
    <row r="58" spans="1:16" ht="15.75" hidden="1">
      <c r="A58" s="179"/>
      <c r="B58" s="111"/>
      <c r="C58" s="179"/>
      <c r="D58" s="4"/>
      <c r="E58" s="340" t="s">
        <v>437</v>
      </c>
      <c r="F58" s="337"/>
      <c r="G58" s="338"/>
      <c r="H58" s="339"/>
      <c r="I58" s="256" t="s">
        <v>471</v>
      </c>
      <c r="J58" s="257">
        <f>J56-F56</f>
        <v>345.13347818266016</v>
      </c>
      <c r="M58" s="256" t="s">
        <v>469</v>
      </c>
      <c r="N58" s="257">
        <f>N56-J56</f>
        <v>81.80888594487851</v>
      </c>
      <c r="O58" s="357" t="s">
        <v>467</v>
      </c>
      <c r="P58" s="335">
        <f>N56-F56</f>
        <v>426.94236412753867</v>
      </c>
    </row>
    <row r="59" spans="1:16" ht="15.75" hidden="1">
      <c r="A59" s="179"/>
      <c r="B59" s="111"/>
      <c r="C59" s="111"/>
      <c r="D59" s="4"/>
      <c r="E59" s="239"/>
      <c r="F59" s="329"/>
      <c r="G59" s="76"/>
      <c r="H59" s="327"/>
      <c r="I59" s="256" t="s">
        <v>472</v>
      </c>
      <c r="J59" s="258">
        <f>J58/F56</f>
        <v>0.25253022649677864</v>
      </c>
      <c r="M59" s="256" t="s">
        <v>470</v>
      </c>
      <c r="N59" s="258">
        <f>N58/J56</f>
        <v>0.04779016648120108</v>
      </c>
      <c r="O59" s="357" t="s">
        <v>468</v>
      </c>
      <c r="P59" s="336">
        <f>P58/F56</f>
        <v>0.31238885454379617</v>
      </c>
    </row>
    <row r="60" spans="1:15" ht="15.75" hidden="1">
      <c r="A60" s="179">
        <v>1</v>
      </c>
      <c r="B60" s="111"/>
      <c r="C60" s="195"/>
      <c r="D60" s="14"/>
      <c r="E60" s="193"/>
      <c r="F60" s="194"/>
      <c r="G60" s="11"/>
      <c r="H60" s="11"/>
      <c r="O60" s="179"/>
    </row>
    <row r="61" spans="1:17" ht="15.75">
      <c r="A61" s="179">
        <v>1</v>
      </c>
      <c r="B61" s="111"/>
      <c r="C61" s="195"/>
      <c r="D61" s="196"/>
      <c r="E61" s="197"/>
      <c r="F61" s="111"/>
      <c r="G61" s="195"/>
      <c r="H61" s="198"/>
      <c r="I61" s="199"/>
      <c r="J61" s="199"/>
      <c r="K61" s="199"/>
      <c r="L61" s="199"/>
      <c r="M61" s="111"/>
      <c r="N61" s="346"/>
      <c r="O61" s="50"/>
      <c r="P61" s="11"/>
      <c r="Q61" s="11"/>
    </row>
    <row r="62" ht="21.75" customHeight="1" hidden="1"/>
    <row r="63" spans="3:16" s="321" customFormat="1" ht="15.75" hidden="1">
      <c r="C63" s="316"/>
      <c r="F63" s="181"/>
      <c r="G63" s="146"/>
      <c r="H63" s="77"/>
      <c r="I63" s="77"/>
      <c r="J63" s="181"/>
      <c r="K63" s="12"/>
      <c r="L63" s="146"/>
      <c r="M63" s="146"/>
      <c r="N63" s="146"/>
      <c r="O63" s="146"/>
      <c r="P63" s="146"/>
    </row>
    <row r="64" spans="1:20" ht="16.5" hidden="1" thickBot="1">
      <c r="A64">
        <v>2</v>
      </c>
      <c r="F64" t="s">
        <v>435</v>
      </c>
      <c r="G64" s="11" t="s">
        <v>439</v>
      </c>
      <c r="H64" s="11" t="s">
        <v>440</v>
      </c>
      <c r="I64" s="144" t="s">
        <v>441</v>
      </c>
      <c r="J64" s="144" t="s">
        <v>442</v>
      </c>
      <c r="K64" s="144" t="s">
        <v>443</v>
      </c>
      <c r="L64" s="144" t="s">
        <v>444</v>
      </c>
      <c r="M64" s="144" t="s">
        <v>445</v>
      </c>
      <c r="N64" s="144" t="s">
        <v>446</v>
      </c>
      <c r="O64" s="164" t="s">
        <v>447</v>
      </c>
      <c r="P64" s="164">
        <v>1</v>
      </c>
      <c r="Q64" s="164">
        <v>2</v>
      </c>
      <c r="R64" s="164">
        <v>3</v>
      </c>
      <c r="S64" s="164">
        <v>4</v>
      </c>
      <c r="T64" s="164">
        <v>5</v>
      </c>
    </row>
    <row r="65" spans="1:20" ht="16.5" hidden="1" thickBot="1">
      <c r="A65">
        <v>2</v>
      </c>
      <c r="E65" s="130">
        <v>0</v>
      </c>
      <c r="F65" s="145">
        <f aca="true" t="shared" si="7" ref="F65:F76">IF(puntosproljorvarios2&lt;620,T65,O65)</f>
        <v>80</v>
      </c>
      <c r="G65" s="145">
        <v>80</v>
      </c>
      <c r="H65" s="265">
        <v>80</v>
      </c>
      <c r="I65" s="165">
        <v>0</v>
      </c>
      <c r="J65" s="166">
        <v>0</v>
      </c>
      <c r="K65" s="167">
        <v>0</v>
      </c>
      <c r="L65" s="266">
        <v>0</v>
      </c>
      <c r="M65" s="267">
        <v>80</v>
      </c>
      <c r="N65" s="268">
        <v>80</v>
      </c>
      <c r="O65" s="168">
        <f aca="true" t="shared" si="8" ref="O65:O76">IF(punbasjubvarios2&gt;971,N65,M65)</f>
        <v>80</v>
      </c>
      <c r="P65" s="168">
        <f>IF(punbasjubvarios2&lt;972,G65,H65)</f>
        <v>80</v>
      </c>
      <c r="Q65" s="168">
        <f aca="true" t="shared" si="9" ref="Q65:Q76">IF(punbasjubvarios1&lt;1170,P65,I65)</f>
        <v>80</v>
      </c>
      <c r="R65" s="168">
        <f aca="true" t="shared" si="10" ref="R65:R76">IF(punbasjubvarios2&lt;1401,Q65,J65)</f>
        <v>80</v>
      </c>
      <c r="S65" s="168">
        <f aca="true" t="shared" si="11" ref="S65:S76">IF(punbasjubvarios2&lt;1943,R65,K65)</f>
        <v>80</v>
      </c>
      <c r="T65" s="168">
        <f aca="true" t="shared" si="12" ref="T65:T76">IF(punbasjubvarios2&lt;=2220,S65,L65)</f>
        <v>80</v>
      </c>
    </row>
    <row r="66" spans="1:20" ht="16.5" hidden="1" thickBot="1">
      <c r="A66">
        <v>2</v>
      </c>
      <c r="E66" s="131">
        <v>0.1</v>
      </c>
      <c r="F66" s="145">
        <f t="shared" si="7"/>
        <v>90</v>
      </c>
      <c r="G66" s="145">
        <v>90</v>
      </c>
      <c r="H66" s="270">
        <v>90</v>
      </c>
      <c r="I66" s="165">
        <v>0</v>
      </c>
      <c r="J66" s="166">
        <v>0</v>
      </c>
      <c r="K66" s="167">
        <v>0</v>
      </c>
      <c r="L66" s="266">
        <v>0</v>
      </c>
      <c r="M66" s="267">
        <v>90</v>
      </c>
      <c r="N66" s="268">
        <v>90</v>
      </c>
      <c r="O66" s="168">
        <f t="shared" si="8"/>
        <v>90</v>
      </c>
      <c r="P66" s="168">
        <f aca="true" t="shared" si="13" ref="P66:P76">IF(punbasjubvarios1&lt;972,G66,H66)</f>
        <v>90</v>
      </c>
      <c r="Q66" s="168">
        <f t="shared" si="9"/>
        <v>90</v>
      </c>
      <c r="R66" s="168">
        <f t="shared" si="10"/>
        <v>90</v>
      </c>
      <c r="S66" s="168">
        <f t="shared" si="11"/>
        <v>90</v>
      </c>
      <c r="T66" s="168">
        <f t="shared" si="12"/>
        <v>90</v>
      </c>
    </row>
    <row r="67" spans="1:20" ht="16.5" hidden="1" thickBot="1">
      <c r="A67">
        <v>2</v>
      </c>
      <c r="E67" s="132">
        <v>0.15</v>
      </c>
      <c r="F67" s="145">
        <f t="shared" si="7"/>
        <v>180</v>
      </c>
      <c r="G67" s="145">
        <v>180</v>
      </c>
      <c r="H67" s="270">
        <v>180</v>
      </c>
      <c r="I67" s="169">
        <v>240</v>
      </c>
      <c r="J67" s="170">
        <v>193</v>
      </c>
      <c r="K67" s="171">
        <v>180</v>
      </c>
      <c r="L67" s="266">
        <v>0</v>
      </c>
      <c r="M67" s="267">
        <v>220</v>
      </c>
      <c r="N67" s="268">
        <v>220</v>
      </c>
      <c r="O67" s="168">
        <f t="shared" si="8"/>
        <v>220</v>
      </c>
      <c r="P67" s="168">
        <f t="shared" si="13"/>
        <v>180</v>
      </c>
      <c r="Q67" s="168">
        <f t="shared" si="9"/>
        <v>180</v>
      </c>
      <c r="R67" s="168">
        <f t="shared" si="10"/>
        <v>180</v>
      </c>
      <c r="S67" s="168">
        <f t="shared" si="11"/>
        <v>180</v>
      </c>
      <c r="T67" s="168">
        <f t="shared" si="12"/>
        <v>180</v>
      </c>
    </row>
    <row r="68" spans="1:20" ht="16.5" hidden="1" thickBot="1">
      <c r="A68">
        <v>2</v>
      </c>
      <c r="E68" s="132">
        <v>0.3</v>
      </c>
      <c r="F68" s="145">
        <f t="shared" si="7"/>
        <v>225</v>
      </c>
      <c r="G68" s="145">
        <v>225</v>
      </c>
      <c r="H68" s="270">
        <v>195</v>
      </c>
      <c r="I68" s="169">
        <v>240</v>
      </c>
      <c r="J68" s="170">
        <v>193</v>
      </c>
      <c r="K68" s="171">
        <v>180</v>
      </c>
      <c r="L68" s="266">
        <v>0</v>
      </c>
      <c r="M68" s="267">
        <v>380</v>
      </c>
      <c r="N68" s="268">
        <v>350</v>
      </c>
      <c r="O68" s="168">
        <f t="shared" si="8"/>
        <v>380</v>
      </c>
      <c r="P68" s="168">
        <f t="shared" si="13"/>
        <v>225</v>
      </c>
      <c r="Q68" s="168">
        <f t="shared" si="9"/>
        <v>225</v>
      </c>
      <c r="R68" s="168">
        <f t="shared" si="10"/>
        <v>225</v>
      </c>
      <c r="S68" s="168">
        <f t="shared" si="11"/>
        <v>225</v>
      </c>
      <c r="T68" s="168">
        <f t="shared" si="12"/>
        <v>225</v>
      </c>
    </row>
    <row r="69" spans="1:20" ht="16.5" hidden="1" thickBot="1">
      <c r="A69">
        <v>2</v>
      </c>
      <c r="E69" s="132">
        <v>0.4</v>
      </c>
      <c r="F69" s="145">
        <f t="shared" si="7"/>
        <v>250</v>
      </c>
      <c r="G69" s="145">
        <v>250</v>
      </c>
      <c r="H69" s="270">
        <v>210</v>
      </c>
      <c r="I69" s="169">
        <v>250</v>
      </c>
      <c r="J69" s="170">
        <v>200</v>
      </c>
      <c r="K69" s="171">
        <v>180</v>
      </c>
      <c r="L69" s="266">
        <v>140</v>
      </c>
      <c r="M69" s="267">
        <v>440</v>
      </c>
      <c r="N69" s="268">
        <v>400</v>
      </c>
      <c r="O69" s="168">
        <f t="shared" si="8"/>
        <v>440</v>
      </c>
      <c r="P69" s="168">
        <f t="shared" si="13"/>
        <v>250</v>
      </c>
      <c r="Q69" s="168">
        <f t="shared" si="9"/>
        <v>250</v>
      </c>
      <c r="R69" s="168">
        <f t="shared" si="10"/>
        <v>250</v>
      </c>
      <c r="S69" s="168">
        <f t="shared" si="11"/>
        <v>250</v>
      </c>
      <c r="T69" s="168">
        <f t="shared" si="12"/>
        <v>250</v>
      </c>
    </row>
    <row r="70" spans="1:20" ht="16.5" hidden="1" thickBot="1">
      <c r="A70">
        <v>2</v>
      </c>
      <c r="E70" s="132">
        <v>0.5</v>
      </c>
      <c r="F70" s="145">
        <f t="shared" si="7"/>
        <v>270</v>
      </c>
      <c r="G70" s="145">
        <v>270</v>
      </c>
      <c r="H70" s="270">
        <v>230</v>
      </c>
      <c r="I70" s="169">
        <v>250</v>
      </c>
      <c r="J70" s="148">
        <v>200</v>
      </c>
      <c r="K70" s="171">
        <v>180</v>
      </c>
      <c r="L70" s="266">
        <v>140</v>
      </c>
      <c r="M70" s="267">
        <v>475</v>
      </c>
      <c r="N70" s="268">
        <v>435</v>
      </c>
      <c r="O70" s="168">
        <f t="shared" si="8"/>
        <v>475</v>
      </c>
      <c r="P70" s="168">
        <f t="shared" si="13"/>
        <v>270</v>
      </c>
      <c r="Q70" s="168">
        <f t="shared" si="9"/>
        <v>270</v>
      </c>
      <c r="R70" s="168">
        <f t="shared" si="10"/>
        <v>270</v>
      </c>
      <c r="S70" s="168">
        <f t="shared" si="11"/>
        <v>270</v>
      </c>
      <c r="T70" s="168">
        <f t="shared" si="12"/>
        <v>270</v>
      </c>
    </row>
    <row r="71" spans="1:20" ht="16.5" hidden="1" thickBot="1">
      <c r="A71">
        <v>2</v>
      </c>
      <c r="E71" s="132">
        <v>0.6</v>
      </c>
      <c r="F71" s="145">
        <f t="shared" si="7"/>
        <v>320</v>
      </c>
      <c r="G71" s="145">
        <v>320</v>
      </c>
      <c r="H71" s="270">
        <v>260</v>
      </c>
      <c r="I71" s="169">
        <v>260</v>
      </c>
      <c r="J71" s="148">
        <v>203</v>
      </c>
      <c r="K71" s="171">
        <v>190</v>
      </c>
      <c r="L71" s="266">
        <v>160</v>
      </c>
      <c r="M71" s="267">
        <v>510</v>
      </c>
      <c r="N71" s="268">
        <v>450</v>
      </c>
      <c r="O71" s="168">
        <f t="shared" si="8"/>
        <v>510</v>
      </c>
      <c r="P71" s="168">
        <f t="shared" si="13"/>
        <v>320</v>
      </c>
      <c r="Q71" s="168">
        <f t="shared" si="9"/>
        <v>320</v>
      </c>
      <c r="R71" s="168">
        <f t="shared" si="10"/>
        <v>320</v>
      </c>
      <c r="S71" s="168">
        <f t="shared" si="11"/>
        <v>320</v>
      </c>
      <c r="T71" s="168">
        <f t="shared" si="12"/>
        <v>320</v>
      </c>
    </row>
    <row r="72" spans="1:20" ht="16.5" hidden="1" thickBot="1">
      <c r="A72">
        <v>2</v>
      </c>
      <c r="E72" s="132">
        <v>0.7</v>
      </c>
      <c r="F72" s="145">
        <f t="shared" si="7"/>
        <v>345</v>
      </c>
      <c r="G72" s="145">
        <v>345</v>
      </c>
      <c r="H72" s="270">
        <v>285</v>
      </c>
      <c r="I72" s="169">
        <v>365</v>
      </c>
      <c r="J72" s="148">
        <v>230</v>
      </c>
      <c r="K72" s="171">
        <v>190</v>
      </c>
      <c r="L72" s="266">
        <v>160</v>
      </c>
      <c r="M72" s="267">
        <v>525</v>
      </c>
      <c r="N72" s="268">
        <v>465</v>
      </c>
      <c r="O72" s="168">
        <f t="shared" si="8"/>
        <v>525</v>
      </c>
      <c r="P72" s="168">
        <f t="shared" si="13"/>
        <v>345</v>
      </c>
      <c r="Q72" s="168">
        <f t="shared" si="9"/>
        <v>345</v>
      </c>
      <c r="R72" s="168">
        <f t="shared" si="10"/>
        <v>345</v>
      </c>
      <c r="S72" s="168">
        <f t="shared" si="11"/>
        <v>345</v>
      </c>
      <c r="T72" s="168">
        <f t="shared" si="12"/>
        <v>345</v>
      </c>
    </row>
    <row r="73" spans="1:20" ht="16.5" hidden="1" thickBot="1">
      <c r="A73">
        <v>2</v>
      </c>
      <c r="E73" s="132">
        <v>0.8</v>
      </c>
      <c r="F73" s="145">
        <f t="shared" si="7"/>
        <v>425</v>
      </c>
      <c r="G73" s="145">
        <v>425</v>
      </c>
      <c r="H73" s="270">
        <v>345</v>
      </c>
      <c r="I73" s="147">
        <v>395</v>
      </c>
      <c r="J73" s="148">
        <v>340</v>
      </c>
      <c r="K73" s="172">
        <v>280</v>
      </c>
      <c r="L73" s="272">
        <v>180</v>
      </c>
      <c r="M73" s="267">
        <v>555</v>
      </c>
      <c r="N73" s="268">
        <v>475</v>
      </c>
      <c r="O73" s="168">
        <f t="shared" si="8"/>
        <v>555</v>
      </c>
      <c r="P73" s="168">
        <f t="shared" si="13"/>
        <v>425</v>
      </c>
      <c r="Q73" s="168">
        <f t="shared" si="9"/>
        <v>425</v>
      </c>
      <c r="R73" s="168">
        <f t="shared" si="10"/>
        <v>425</v>
      </c>
      <c r="S73" s="168">
        <f t="shared" si="11"/>
        <v>425</v>
      </c>
      <c r="T73" s="168">
        <f t="shared" si="12"/>
        <v>425</v>
      </c>
    </row>
    <row r="74" spans="1:20" ht="16.5" hidden="1" thickBot="1">
      <c r="A74">
        <v>2</v>
      </c>
      <c r="E74" s="132">
        <v>1</v>
      </c>
      <c r="F74" s="145">
        <f t="shared" si="7"/>
        <v>535</v>
      </c>
      <c r="G74" s="145">
        <v>535</v>
      </c>
      <c r="H74" s="270">
        <v>435</v>
      </c>
      <c r="I74" s="147">
        <v>410</v>
      </c>
      <c r="J74" s="148">
        <v>330</v>
      </c>
      <c r="K74" s="172">
        <v>310</v>
      </c>
      <c r="L74" s="272">
        <v>180</v>
      </c>
      <c r="M74" s="267">
        <v>590</v>
      </c>
      <c r="N74" s="268">
        <v>490</v>
      </c>
      <c r="O74" s="168">
        <f t="shared" si="8"/>
        <v>590</v>
      </c>
      <c r="P74" s="168">
        <f t="shared" si="13"/>
        <v>535</v>
      </c>
      <c r="Q74" s="168">
        <f t="shared" si="9"/>
        <v>535</v>
      </c>
      <c r="R74" s="168">
        <f t="shared" si="10"/>
        <v>535</v>
      </c>
      <c r="S74" s="168">
        <f t="shared" si="11"/>
        <v>535</v>
      </c>
      <c r="T74" s="168">
        <f t="shared" si="12"/>
        <v>535</v>
      </c>
    </row>
    <row r="75" spans="1:20" ht="16.5" hidden="1" thickBot="1">
      <c r="A75">
        <v>2</v>
      </c>
      <c r="E75" s="132">
        <v>1.1</v>
      </c>
      <c r="F75" s="145">
        <f t="shared" si="7"/>
        <v>605</v>
      </c>
      <c r="G75" s="145">
        <v>605</v>
      </c>
      <c r="H75" s="270">
        <v>495</v>
      </c>
      <c r="I75" s="147">
        <v>430</v>
      </c>
      <c r="J75" s="148">
        <v>330</v>
      </c>
      <c r="K75" s="172">
        <v>320</v>
      </c>
      <c r="L75" s="272">
        <v>190</v>
      </c>
      <c r="M75" s="267">
        <v>615</v>
      </c>
      <c r="N75" s="268">
        <v>505</v>
      </c>
      <c r="O75" s="168">
        <f t="shared" si="8"/>
        <v>615</v>
      </c>
      <c r="P75" s="168">
        <f t="shared" si="13"/>
        <v>605</v>
      </c>
      <c r="Q75" s="168">
        <f t="shared" si="9"/>
        <v>605</v>
      </c>
      <c r="R75" s="168">
        <f t="shared" si="10"/>
        <v>605</v>
      </c>
      <c r="S75" s="168">
        <f t="shared" si="11"/>
        <v>605</v>
      </c>
      <c r="T75" s="168">
        <f t="shared" si="12"/>
        <v>605</v>
      </c>
    </row>
    <row r="76" spans="1:20" ht="16.5" hidden="1" thickBot="1">
      <c r="A76">
        <v>2</v>
      </c>
      <c r="E76" s="133">
        <v>1.2</v>
      </c>
      <c r="F76" s="145">
        <f t="shared" si="7"/>
        <v>620</v>
      </c>
      <c r="G76" s="145">
        <v>620</v>
      </c>
      <c r="H76" s="270">
        <v>510</v>
      </c>
      <c r="I76" s="147">
        <v>480</v>
      </c>
      <c r="J76" s="148">
        <v>335</v>
      </c>
      <c r="K76" s="172">
        <v>330</v>
      </c>
      <c r="L76" s="272">
        <v>190</v>
      </c>
      <c r="M76" s="267">
        <v>620</v>
      </c>
      <c r="N76" s="268">
        <v>510</v>
      </c>
      <c r="O76" s="168">
        <f t="shared" si="8"/>
        <v>620</v>
      </c>
      <c r="P76" s="168">
        <f t="shared" si="13"/>
        <v>620</v>
      </c>
      <c r="Q76" s="168">
        <f t="shared" si="9"/>
        <v>620</v>
      </c>
      <c r="R76" s="168">
        <f t="shared" si="10"/>
        <v>620</v>
      </c>
      <c r="S76" s="168">
        <f t="shared" si="11"/>
        <v>620</v>
      </c>
      <c r="T76" s="168">
        <f t="shared" si="12"/>
        <v>620</v>
      </c>
    </row>
    <row r="77" spans="1:20" s="315" customFormat="1" ht="15.75" hidden="1">
      <c r="A77">
        <v>2</v>
      </c>
      <c r="E77" s="316"/>
      <c r="F77" s="181"/>
      <c r="G77" s="181"/>
      <c r="H77" s="317"/>
      <c r="I77" s="318"/>
      <c r="J77" s="318"/>
      <c r="K77" s="181"/>
      <c r="L77" s="12"/>
      <c r="M77" s="146"/>
      <c r="N77" s="146"/>
      <c r="O77" s="146"/>
      <c r="P77" s="146"/>
      <c r="Q77" s="146"/>
      <c r="R77" s="146"/>
      <c r="S77" s="146"/>
      <c r="T77" s="146"/>
    </row>
    <row r="78" spans="1:20" s="315" customFormat="1" ht="15.75" hidden="1">
      <c r="A78">
        <v>2</v>
      </c>
      <c r="E78" s="316"/>
      <c r="F78" s="181" t="s">
        <v>464</v>
      </c>
      <c r="G78" s="181">
        <f>LOOKUP(F93,porantvar2,cod06cargosvar2)</f>
        <v>620</v>
      </c>
      <c r="H78" s="317"/>
      <c r="I78" s="318"/>
      <c r="J78" s="318"/>
      <c r="K78" s="181"/>
      <c r="L78" s="12"/>
      <c r="M78" s="146"/>
      <c r="N78" s="146"/>
      <c r="O78" s="146"/>
      <c r="P78" s="146"/>
      <c r="Q78" s="146"/>
      <c r="R78" s="146"/>
      <c r="S78" s="146"/>
      <c r="T78" s="146"/>
    </row>
    <row r="79" spans="1:16" s="321" customFormat="1" ht="15.75" hidden="1">
      <c r="A79">
        <v>2</v>
      </c>
      <c r="C79" s="316"/>
      <c r="F79" s="181"/>
      <c r="G79" s="146"/>
      <c r="H79" s="77"/>
      <c r="I79" s="77"/>
      <c r="J79" s="181"/>
      <c r="K79" s="12"/>
      <c r="L79" s="146"/>
      <c r="M79" s="146"/>
      <c r="N79" s="146"/>
      <c r="O79" s="146"/>
      <c r="P79" s="146"/>
    </row>
    <row r="80" spans="1:15" ht="12.75">
      <c r="A80" s="347">
        <v>2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7" ht="20.25">
      <c r="A81" s="347">
        <v>2</v>
      </c>
      <c r="B81" s="201"/>
      <c r="C81" s="207"/>
      <c r="D81" s="207"/>
      <c r="E81" s="84" t="s">
        <v>428</v>
      </c>
      <c r="F81" s="11"/>
      <c r="G81" s="11"/>
      <c r="H81" s="207"/>
      <c r="I81" s="207"/>
      <c r="J81" s="207"/>
      <c r="K81" s="207"/>
      <c r="L81" s="207"/>
      <c r="M81" s="207"/>
      <c r="N81" s="200"/>
      <c r="O81" s="358"/>
      <c r="P81" s="181"/>
      <c r="Q81" s="181"/>
    </row>
    <row r="82" spans="1:17" ht="12.75">
      <c r="A82" s="347">
        <v>2</v>
      </c>
      <c r="B82" s="201"/>
      <c r="C82" s="201"/>
      <c r="D82" s="201"/>
      <c r="E82" s="201"/>
      <c r="F82" s="201"/>
      <c r="G82" s="201"/>
      <c r="H82" s="349"/>
      <c r="I82" s="201"/>
      <c r="J82" s="201"/>
      <c r="K82" s="201"/>
      <c r="L82" s="201"/>
      <c r="M82" s="201"/>
      <c r="N82" s="200"/>
      <c r="O82" s="358"/>
      <c r="P82" s="181"/>
      <c r="Q82" s="181"/>
    </row>
    <row r="83" spans="1:17" ht="12.75">
      <c r="A83" s="347">
        <v>2</v>
      </c>
      <c r="B83" s="347"/>
      <c r="C83" s="347"/>
      <c r="D83" s="45" t="s">
        <v>52</v>
      </c>
      <c r="E83" s="45" t="s">
        <v>356</v>
      </c>
      <c r="F83" s="45" t="s">
        <v>357</v>
      </c>
      <c r="G83" s="45" t="s">
        <v>358</v>
      </c>
      <c r="H83" s="45" t="s">
        <v>359</v>
      </c>
      <c r="I83" s="105" t="s">
        <v>452</v>
      </c>
      <c r="J83" s="201"/>
      <c r="K83" s="201"/>
      <c r="L83" s="201"/>
      <c r="M83" s="201"/>
      <c r="N83" s="200"/>
      <c r="O83" s="358"/>
      <c r="P83" s="181"/>
      <c r="Q83" s="181"/>
    </row>
    <row r="84" spans="1:17" ht="16.5" thickBot="1">
      <c r="A84" s="347">
        <v>2</v>
      </c>
      <c r="B84" s="347"/>
      <c r="C84" s="347"/>
      <c r="D84" s="123">
        <v>749</v>
      </c>
      <c r="E84" s="85">
        <f>LOOKUP(D84,[0]!numerocargo,[0]!puntosbasicoscargo)</f>
        <v>971</v>
      </c>
      <c r="F84" s="85">
        <f>LOOKUP(D84,[0]!numerocargo,[0]!tardifcargo)</f>
        <v>0</v>
      </c>
      <c r="G84" s="85">
        <f>LOOKUP(D84,[0]!numerocargo,[0]!proljorcargo)</f>
        <v>0</v>
      </c>
      <c r="H84" s="85">
        <f>LOOKUP(D84,[0]!numerocargo,[0]!jorcomcargo)</f>
        <v>0</v>
      </c>
      <c r="I84" s="45">
        <f>LOOKUP(D84,Cargos!A3:A314,puntoscompbasico)</f>
        <v>170</v>
      </c>
      <c r="J84" s="201"/>
      <c r="K84" s="201"/>
      <c r="L84" s="201"/>
      <c r="M84" s="201"/>
      <c r="N84" s="200"/>
      <c r="O84" s="358"/>
      <c r="P84" s="181"/>
      <c r="Q84" s="181"/>
    </row>
    <row r="85" spans="1:17" ht="13.5" thickBot="1">
      <c r="A85" s="347">
        <v>2</v>
      </c>
      <c r="B85" s="347"/>
      <c r="C85" s="347"/>
      <c r="D85" s="86" t="s">
        <v>53</v>
      </c>
      <c r="E85" s="87" t="str">
        <f>LOOKUP(D84,[0]!numerocargo,[0]!nombrecargo)</f>
        <v> MAESTRO DE GRADO</v>
      </c>
      <c r="F85" s="43"/>
      <c r="G85" s="43"/>
      <c r="H85" s="64"/>
      <c r="I85" s="12"/>
      <c r="J85" s="201"/>
      <c r="K85" s="201"/>
      <c r="L85" s="201"/>
      <c r="M85" s="201"/>
      <c r="N85" s="200"/>
      <c r="O85" s="358"/>
      <c r="P85" s="181"/>
      <c r="Q85" s="181"/>
    </row>
    <row r="86" spans="1:17" ht="13.5" hidden="1" thickBot="1">
      <c r="A86" s="347">
        <v>2</v>
      </c>
      <c r="B86" s="347"/>
      <c r="C86" s="347"/>
      <c r="D86" s="182"/>
      <c r="E86" s="10"/>
      <c r="F86" s="2"/>
      <c r="G86" s="2"/>
      <c r="H86" s="2"/>
      <c r="I86" s="139" t="s">
        <v>384</v>
      </c>
      <c r="J86" s="355"/>
      <c r="K86" s="355"/>
      <c r="L86" s="355"/>
      <c r="M86" s="201"/>
      <c r="N86" s="201"/>
      <c r="O86" s="201"/>
      <c r="P86" s="11"/>
      <c r="Q86" s="11"/>
    </row>
    <row r="87" spans="1:17" ht="19.5" thickBot="1" thickTop="1">
      <c r="A87" s="347">
        <v>2</v>
      </c>
      <c r="B87" s="347"/>
      <c r="C87" s="347"/>
      <c r="D87" s="183" t="s">
        <v>373</v>
      </c>
      <c r="E87" s="129"/>
      <c r="F87" s="129"/>
      <c r="G87" s="129"/>
      <c r="H87" s="184">
        <v>0</v>
      </c>
      <c r="I87" s="140">
        <f>H87/120</f>
        <v>0</v>
      </c>
      <c r="J87" s="349"/>
      <c r="K87" s="349"/>
      <c r="L87" s="349"/>
      <c r="M87" s="201"/>
      <c r="N87" s="201"/>
      <c r="O87" s="201"/>
      <c r="P87" s="11"/>
      <c r="Q87" s="11"/>
    </row>
    <row r="88" spans="1:17" ht="17.25" hidden="1" thickBot="1" thickTop="1">
      <c r="A88" s="347">
        <v>2</v>
      </c>
      <c r="B88" s="348"/>
      <c r="C88" s="349"/>
      <c r="D88" s="2"/>
      <c r="E88" s="2"/>
      <c r="F88" s="185"/>
      <c r="G88" s="12"/>
      <c r="H88" s="10"/>
      <c r="I88" s="12"/>
      <c r="J88" s="201"/>
      <c r="K88" s="201"/>
      <c r="L88" s="201"/>
      <c r="M88" s="201"/>
      <c r="N88" s="201"/>
      <c r="O88" s="201"/>
      <c r="P88" s="11"/>
      <c r="Q88" s="11"/>
    </row>
    <row r="89" spans="1:17" ht="17.25" thickBot="1" thickTop="1">
      <c r="A89" s="347">
        <v>2</v>
      </c>
      <c r="B89" s="348"/>
      <c r="C89" s="347"/>
      <c r="D89" s="127" t="s">
        <v>386</v>
      </c>
      <c r="E89" s="143">
        <v>0</v>
      </c>
      <c r="F89" s="185"/>
      <c r="G89" s="12"/>
      <c r="H89" s="349"/>
      <c r="I89" s="201"/>
      <c r="J89" s="201"/>
      <c r="K89" s="201"/>
      <c r="L89" s="201"/>
      <c r="M89" s="201"/>
      <c r="N89" s="201"/>
      <c r="O89" s="201"/>
      <c r="P89" s="11"/>
      <c r="Q89" s="11"/>
    </row>
    <row r="90" spans="1:17" ht="13.5" hidden="1" thickTop="1">
      <c r="A90" s="347">
        <v>2</v>
      </c>
      <c r="B90" s="348"/>
      <c r="C90" s="349"/>
      <c r="D90" s="2"/>
      <c r="E90" s="2"/>
      <c r="F90" s="2"/>
      <c r="G90" s="12"/>
      <c r="H90" s="349"/>
      <c r="I90" s="201"/>
      <c r="J90" s="201"/>
      <c r="K90" s="201"/>
      <c r="L90" s="201"/>
      <c r="M90" s="201"/>
      <c r="N90" s="201"/>
      <c r="O90" s="201"/>
      <c r="P90" s="11"/>
      <c r="Q90" s="11"/>
    </row>
    <row r="91" spans="1:17" ht="13.5" hidden="1" thickBot="1">
      <c r="A91" s="347">
        <v>2</v>
      </c>
      <c r="B91" s="201"/>
      <c r="C91" s="207"/>
      <c r="D91" s="11"/>
      <c r="E91" s="11"/>
      <c r="F91" s="11"/>
      <c r="G91" s="11"/>
      <c r="H91" s="207"/>
      <c r="I91" s="207"/>
      <c r="J91" s="207"/>
      <c r="K91" s="207"/>
      <c r="L91" s="207"/>
      <c r="M91" s="207"/>
      <c r="N91" s="207"/>
      <c r="O91" s="207"/>
      <c r="P91" s="11"/>
      <c r="Q91" s="11"/>
    </row>
    <row r="92" spans="1:17" ht="17.25" thickBot="1" thickTop="1">
      <c r="A92" s="347">
        <v>2</v>
      </c>
      <c r="B92" s="201"/>
      <c r="C92" s="207"/>
      <c r="D92" s="88" t="s">
        <v>14</v>
      </c>
      <c r="E92" s="43"/>
      <c r="F92" s="89">
        <f>E84*indicesep07</f>
        <v>480.645</v>
      </c>
      <c r="G92" s="11"/>
      <c r="H92" s="207"/>
      <c r="I92" s="207"/>
      <c r="J92" s="207"/>
      <c r="K92" s="207"/>
      <c r="L92" s="207"/>
      <c r="M92" s="205"/>
      <c r="N92" s="205"/>
      <c r="O92" s="207"/>
      <c r="P92" s="11"/>
      <c r="Q92" s="11"/>
    </row>
    <row r="93" spans="1:17" ht="16.5" thickBot="1">
      <c r="A93" s="347">
        <v>2</v>
      </c>
      <c r="B93" s="201"/>
      <c r="C93" s="207"/>
      <c r="D93" s="202" t="s">
        <v>15</v>
      </c>
      <c r="E93" s="203"/>
      <c r="F93" s="204">
        <v>1.2</v>
      </c>
      <c r="G93" s="76" t="s">
        <v>16</v>
      </c>
      <c r="H93" s="76"/>
      <c r="I93" s="207"/>
      <c r="J93" s="207"/>
      <c r="K93" s="207"/>
      <c r="L93" s="207"/>
      <c r="M93" s="207"/>
      <c r="N93" s="205"/>
      <c r="O93" s="207"/>
      <c r="P93" s="11"/>
      <c r="Q93" s="11"/>
    </row>
    <row r="94" spans="1:17" ht="15.75">
      <c r="A94" s="347">
        <v>2</v>
      </c>
      <c r="B94" s="201"/>
      <c r="C94" s="207"/>
      <c r="D94" s="201"/>
      <c r="E94" s="201"/>
      <c r="F94" s="206"/>
      <c r="G94" s="207"/>
      <c r="H94" s="207"/>
      <c r="I94" s="207"/>
      <c r="J94" s="207"/>
      <c r="K94" s="207"/>
      <c r="L94" s="207"/>
      <c r="M94" s="207"/>
      <c r="N94" s="208"/>
      <c r="O94" s="207"/>
      <c r="P94" s="11"/>
      <c r="Q94" s="11"/>
    </row>
    <row r="95" spans="1:17" ht="18.75" thickBot="1">
      <c r="A95" s="347">
        <v>2</v>
      </c>
      <c r="B95" s="201"/>
      <c r="C95" s="207"/>
      <c r="D95" s="91" t="s">
        <v>17</v>
      </c>
      <c r="E95" s="91"/>
      <c r="F95" s="92">
        <f>E84</f>
        <v>971</v>
      </c>
      <c r="G95" s="11" t="s">
        <v>18</v>
      </c>
      <c r="H95" s="11"/>
      <c r="I95" s="90">
        <f>H84+G84</f>
        <v>0</v>
      </c>
      <c r="J95" s="90"/>
      <c r="K95" s="90"/>
      <c r="L95" s="90"/>
      <c r="M95" s="2"/>
      <c r="N95" s="11"/>
      <c r="O95" s="207"/>
      <c r="P95" s="11"/>
      <c r="Q95" s="11"/>
    </row>
    <row r="96" spans="1:17" ht="15.75" hidden="1">
      <c r="A96" s="347">
        <v>2</v>
      </c>
      <c r="B96" s="201"/>
      <c r="C96" s="207"/>
      <c r="D96" s="2"/>
      <c r="E96" s="2"/>
      <c r="F96" s="189"/>
      <c r="G96" s="11"/>
      <c r="H96" s="11"/>
      <c r="I96" s="2"/>
      <c r="J96" s="2"/>
      <c r="K96" s="2"/>
      <c r="L96" s="2"/>
      <c r="M96" s="93"/>
      <c r="N96" s="11"/>
      <c r="O96" s="207"/>
      <c r="P96" s="11"/>
      <c r="Q96" s="11"/>
    </row>
    <row r="97" spans="1:15" ht="15.75">
      <c r="A97" s="347">
        <v>2</v>
      </c>
      <c r="B97" s="201"/>
      <c r="C97" s="207"/>
      <c r="D97" s="11"/>
      <c r="E97" s="173" t="s">
        <v>455</v>
      </c>
      <c r="F97" s="11"/>
      <c r="G97" s="207"/>
      <c r="H97" s="11"/>
      <c r="I97" s="173" t="s">
        <v>461</v>
      </c>
      <c r="J97" s="11"/>
      <c r="K97" s="347"/>
      <c r="L97" s="11"/>
      <c r="M97" s="173" t="s">
        <v>473</v>
      </c>
      <c r="N97" s="11"/>
      <c r="O97" s="347"/>
    </row>
    <row r="98" spans="1:15" ht="12.75">
      <c r="A98" s="347">
        <v>2</v>
      </c>
      <c r="B98" s="201"/>
      <c r="C98" s="347"/>
      <c r="D98" s="18">
        <v>400</v>
      </c>
      <c r="E98" s="18" t="s">
        <v>19</v>
      </c>
      <c r="F98" s="94">
        <f>punbasjubvarios2*indicesep07*0.82*frac2</f>
        <v>0</v>
      </c>
      <c r="G98" s="347"/>
      <c r="H98" s="18">
        <v>400</v>
      </c>
      <c r="I98" s="18" t="s">
        <v>19</v>
      </c>
      <c r="J98" s="94">
        <f>punbasjubvarios2*indicemar08*0.82*frac2</f>
        <v>0</v>
      </c>
      <c r="K98" s="347"/>
      <c r="L98" s="18">
        <v>400</v>
      </c>
      <c r="M98" s="18" t="s">
        <v>19</v>
      </c>
      <c r="N98" s="94">
        <f>punbasjubvarios2*indicejul08*0.82*frac2</f>
        <v>0</v>
      </c>
      <c r="O98" s="347"/>
    </row>
    <row r="99" spans="1:15" ht="12.75">
      <c r="A99" s="347">
        <v>2</v>
      </c>
      <c r="B99" s="201"/>
      <c r="C99" s="347"/>
      <c r="D99" s="18" t="s">
        <v>463</v>
      </c>
      <c r="E99" s="18" t="s">
        <v>454</v>
      </c>
      <c r="F99" s="296">
        <v>0</v>
      </c>
      <c r="G99" s="347"/>
      <c r="H99" s="18" t="s">
        <v>463</v>
      </c>
      <c r="I99" s="18" t="s">
        <v>454</v>
      </c>
      <c r="J99" s="296">
        <f>compbasicovarios2*indicemar08*0.82*frac2</f>
        <v>0</v>
      </c>
      <c r="K99" s="347"/>
      <c r="L99" s="18" t="s">
        <v>463</v>
      </c>
      <c r="M99" s="18" t="s">
        <v>454</v>
      </c>
      <c r="N99" s="296">
        <f>compbasicovarios2*indicejul08*0.82*frac2</f>
        <v>0</v>
      </c>
      <c r="O99" s="347"/>
    </row>
    <row r="100" spans="1:14" ht="12.75" hidden="1">
      <c r="A100" s="347">
        <v>2</v>
      </c>
      <c r="B100" s="201"/>
      <c r="C100" s="347"/>
      <c r="D100" s="18">
        <v>404</v>
      </c>
      <c r="E100" s="18" t="s">
        <v>361</v>
      </c>
      <c r="F100" s="94">
        <f>F84*indicesep07*0.82*frac2</f>
        <v>0</v>
      </c>
      <c r="H100" s="18">
        <v>404</v>
      </c>
      <c r="I100" s="18" t="s">
        <v>361</v>
      </c>
      <c r="J100" s="94">
        <f>F84*indicemar08*0.82*frac2</f>
        <v>0</v>
      </c>
      <c r="L100" s="18">
        <v>404</v>
      </c>
      <c r="M100" s="18" t="s">
        <v>361</v>
      </c>
      <c r="N100" s="94">
        <f>F84*indicejul08*0.82*frac2</f>
        <v>0</v>
      </c>
    </row>
    <row r="101" spans="1:14" ht="12.75" hidden="1">
      <c r="A101" s="347">
        <v>2</v>
      </c>
      <c r="B101" s="201"/>
      <c r="C101" s="347"/>
      <c r="D101" s="18">
        <v>406</v>
      </c>
      <c r="E101" s="18" t="s">
        <v>20</v>
      </c>
      <c r="F101" s="94">
        <f>(F98+F99+F100+F103)*F93</f>
        <v>0</v>
      </c>
      <c r="H101" s="18">
        <v>406</v>
      </c>
      <c r="I101" s="18" t="s">
        <v>20</v>
      </c>
      <c r="J101" s="94">
        <f>(J98+J99+J100+J103)*F93</f>
        <v>0</v>
      </c>
      <c r="L101" s="18">
        <v>406</v>
      </c>
      <c r="M101" s="18" t="s">
        <v>20</v>
      </c>
      <c r="N101" s="94">
        <f>(N98+N99+N100+N103)*F93</f>
        <v>0</v>
      </c>
    </row>
    <row r="102" spans="1:14" ht="12.75" hidden="1">
      <c r="A102" s="347">
        <v>2</v>
      </c>
      <c r="B102" s="201"/>
      <c r="C102" s="347"/>
      <c r="D102" s="18">
        <v>408</v>
      </c>
      <c r="E102" s="18" t="s">
        <v>385</v>
      </c>
      <c r="F102" s="94">
        <f>(F98+F103+F99+F100)*E89</f>
        <v>0</v>
      </c>
      <c r="H102" s="18">
        <v>408</v>
      </c>
      <c r="I102" s="18" t="s">
        <v>385</v>
      </c>
      <c r="J102" s="94">
        <f>(J98+J99+J100+J103)*E89</f>
        <v>0</v>
      </c>
      <c r="L102" s="18">
        <v>408</v>
      </c>
      <c r="M102" s="18" t="s">
        <v>385</v>
      </c>
      <c r="N102" s="94">
        <f>(N98+N99+N100+N103)*E89</f>
        <v>0</v>
      </c>
    </row>
    <row r="103" spans="1:14" ht="12.75" hidden="1">
      <c r="A103" s="347">
        <v>2</v>
      </c>
      <c r="B103" s="201"/>
      <c r="C103" s="347"/>
      <c r="D103" s="18">
        <v>416</v>
      </c>
      <c r="E103" s="102" t="s">
        <v>362</v>
      </c>
      <c r="F103" s="94">
        <f>puntosproljorvarios2*proljorsep07*0.82*frac2</f>
        <v>0</v>
      </c>
      <c r="H103" s="18">
        <v>416</v>
      </c>
      <c r="I103" s="95" t="s">
        <v>362</v>
      </c>
      <c r="J103" s="94">
        <f>puntosproljorvarios2*proljormar08*0.82*frac2</f>
        <v>0</v>
      </c>
      <c r="L103" s="18">
        <v>416</v>
      </c>
      <c r="M103" s="95" t="s">
        <v>362</v>
      </c>
      <c r="N103" s="94">
        <f>puntosproljorvarios2*proljorjul08*0.82*frac2</f>
        <v>0</v>
      </c>
    </row>
    <row r="104" spans="1:14" ht="12.75" hidden="1">
      <c r="A104" s="347">
        <v>2</v>
      </c>
      <c r="B104" s="201"/>
      <c r="C104" s="347"/>
      <c r="D104" s="18">
        <v>432</v>
      </c>
      <c r="E104" s="18" t="s">
        <v>383</v>
      </c>
      <c r="F104" s="94">
        <f>cod06sep07varios2*0.82*frac2</f>
        <v>0</v>
      </c>
      <c r="H104" s="18">
        <v>432</v>
      </c>
      <c r="I104" s="18" t="s">
        <v>383</v>
      </c>
      <c r="J104" s="94">
        <f>cod06sep07varios2*0.82*frac2</f>
        <v>0</v>
      </c>
      <c r="L104" s="18">
        <v>432</v>
      </c>
      <c r="M104" s="18" t="s">
        <v>383</v>
      </c>
      <c r="N104" s="94">
        <f>cod06sep07varios2*0.82*frac2</f>
        <v>0</v>
      </c>
    </row>
    <row r="105" spans="1:14" ht="12.75" hidden="1">
      <c r="A105" s="347">
        <v>2</v>
      </c>
      <c r="B105" s="201"/>
      <c r="C105" s="347"/>
      <c r="D105" s="18">
        <v>434</v>
      </c>
      <c r="E105" s="18" t="s">
        <v>360</v>
      </c>
      <c r="F105" s="94">
        <f>(F98+F99+F100+F101+F103+F104+F102)*0.07*0.95</f>
        <v>0</v>
      </c>
      <c r="H105" s="18">
        <v>434</v>
      </c>
      <c r="I105" s="18" t="s">
        <v>360</v>
      </c>
      <c r="J105" s="94">
        <f>(J98+J99+J100+J101+J103+J104+J102)*0.07*0.95</f>
        <v>0</v>
      </c>
      <c r="L105" s="18">
        <v>434</v>
      </c>
      <c r="M105" s="18" t="s">
        <v>360</v>
      </c>
      <c r="N105" s="94">
        <f>(N98+N99+N100+N101+N103+N104+N102)*0.07*0.95</f>
        <v>0</v>
      </c>
    </row>
    <row r="106" spans="1:14" ht="12.75" hidden="1">
      <c r="A106" s="347">
        <v>2</v>
      </c>
      <c r="B106" s="201"/>
      <c r="C106" s="347"/>
      <c r="D106" s="18"/>
      <c r="E106" s="96"/>
      <c r="F106" s="190"/>
      <c r="H106" s="18"/>
      <c r="I106" s="96"/>
      <c r="J106" s="190"/>
      <c r="L106" s="18"/>
      <c r="M106" s="96"/>
      <c r="N106" s="190"/>
    </row>
    <row r="107" spans="1:14" ht="13.5" hidden="1" thickBot="1">
      <c r="A107" s="347">
        <v>2</v>
      </c>
      <c r="B107" s="201"/>
      <c r="C107" s="347"/>
      <c r="D107" s="18"/>
      <c r="E107" s="96" t="s">
        <v>381</v>
      </c>
      <c r="F107" s="124">
        <v>0</v>
      </c>
      <c r="H107" s="18"/>
      <c r="I107" s="96" t="s">
        <v>381</v>
      </c>
      <c r="J107" s="124">
        <v>0</v>
      </c>
      <c r="L107" s="18"/>
      <c r="M107" s="96" t="s">
        <v>381</v>
      </c>
      <c r="N107" s="124">
        <v>0</v>
      </c>
    </row>
    <row r="108" spans="1:14" ht="16.5" hidden="1" thickBot="1">
      <c r="A108" s="347">
        <v>2</v>
      </c>
      <c r="B108" s="201"/>
      <c r="C108" s="347"/>
      <c r="D108" s="97"/>
      <c r="E108" s="98" t="s">
        <v>21</v>
      </c>
      <c r="F108" s="99">
        <f>SUM(F98:F107)</f>
        <v>0</v>
      </c>
      <c r="H108" s="97"/>
      <c r="I108" s="98" t="s">
        <v>21</v>
      </c>
      <c r="J108" s="99">
        <f>SUM(J98:J107)</f>
        <v>0</v>
      </c>
      <c r="L108" s="97"/>
      <c r="M108" s="98" t="s">
        <v>21</v>
      </c>
      <c r="N108" s="99">
        <f>SUM(N98:N107)</f>
        <v>0</v>
      </c>
    </row>
    <row r="109" spans="1:14" ht="12.75" hidden="1">
      <c r="A109" s="347">
        <v>2</v>
      </c>
      <c r="B109" s="201"/>
      <c r="C109" s="347"/>
      <c r="D109" s="18">
        <v>703</v>
      </c>
      <c r="E109" s="100" t="s">
        <v>363</v>
      </c>
      <c r="F109" s="101">
        <f>(F108-F107)*0.0025</f>
        <v>0</v>
      </c>
      <c r="H109" s="18">
        <v>703</v>
      </c>
      <c r="I109" s="100" t="s">
        <v>363</v>
      </c>
      <c r="J109" s="101">
        <f>(J108-J107)*0.0025</f>
        <v>0</v>
      </c>
      <c r="L109" s="18">
        <v>703</v>
      </c>
      <c r="M109" s="100" t="s">
        <v>363</v>
      </c>
      <c r="N109" s="101">
        <f>(N108-N107)*0.0025</f>
        <v>0</v>
      </c>
    </row>
    <row r="110" spans="1:14" ht="12.75" hidden="1">
      <c r="A110" s="347">
        <v>2</v>
      </c>
      <c r="B110" s="201"/>
      <c r="C110" s="347"/>
      <c r="D110" s="19">
        <v>707</v>
      </c>
      <c r="E110" s="102" t="s">
        <v>23</v>
      </c>
      <c r="F110" s="17">
        <f>(F108-F107)*0.03</f>
        <v>0</v>
      </c>
      <c r="H110" s="19">
        <v>707</v>
      </c>
      <c r="I110" s="102" t="s">
        <v>23</v>
      </c>
      <c r="J110" s="17">
        <f>(J108-J107)*0.03</f>
        <v>0</v>
      </c>
      <c r="L110" s="19">
        <v>707</v>
      </c>
      <c r="M110" s="102" t="s">
        <v>23</v>
      </c>
      <c r="N110" s="17">
        <f>(N108-N107)*0.03</f>
        <v>0</v>
      </c>
    </row>
    <row r="111" spans="1:14" ht="12.75" hidden="1">
      <c r="A111" s="347">
        <v>2</v>
      </c>
      <c r="B111" s="201"/>
      <c r="C111" s="347"/>
      <c r="D111" s="19">
        <v>709</v>
      </c>
      <c r="E111" s="102" t="s">
        <v>24</v>
      </c>
      <c r="F111" s="17">
        <f>(F108-F107)*0.0213</f>
        <v>0</v>
      </c>
      <c r="H111" s="19">
        <v>709</v>
      </c>
      <c r="I111" s="102" t="s">
        <v>24</v>
      </c>
      <c r="J111" s="17">
        <f>(J108-J107)*0.0213</f>
        <v>0</v>
      </c>
      <c r="L111" s="19">
        <v>709</v>
      </c>
      <c r="M111" s="102" t="s">
        <v>24</v>
      </c>
      <c r="N111" s="17">
        <f>(N108-N107)*0.0213</f>
        <v>0</v>
      </c>
    </row>
    <row r="112" spans="1:14" ht="12.75" hidden="1">
      <c r="A112" s="347">
        <v>2</v>
      </c>
      <c r="B112" s="201"/>
      <c r="C112" s="347"/>
      <c r="D112" s="16">
        <v>710</v>
      </c>
      <c r="E112" s="102" t="s">
        <v>25</v>
      </c>
      <c r="F112" s="17">
        <f>(F108-F107)*0.00754</f>
        <v>0</v>
      </c>
      <c r="H112" s="16">
        <v>710</v>
      </c>
      <c r="I112" s="102" t="s">
        <v>25</v>
      </c>
      <c r="J112" s="17">
        <f>(J108-J107)*0.00754</f>
        <v>0</v>
      </c>
      <c r="L112" s="16">
        <v>710</v>
      </c>
      <c r="M112" s="102" t="s">
        <v>25</v>
      </c>
      <c r="N112" s="17">
        <f>(N108-N107)*0.00754</f>
        <v>0</v>
      </c>
    </row>
    <row r="113" spans="1:14" ht="12.75" hidden="1">
      <c r="A113" s="347">
        <v>2</v>
      </c>
      <c r="B113" s="201"/>
      <c r="C113" s="347"/>
      <c r="D113" s="16">
        <v>713</v>
      </c>
      <c r="E113" s="102" t="s">
        <v>26</v>
      </c>
      <c r="F113" s="17">
        <f>(F108-F107)*0.007</f>
        <v>0</v>
      </c>
      <c r="H113" s="16">
        <v>713</v>
      </c>
      <c r="I113" s="102" t="s">
        <v>26</v>
      </c>
      <c r="J113" s="17">
        <f>(J108-J107)*0.007</f>
        <v>0</v>
      </c>
      <c r="L113" s="16">
        <v>713</v>
      </c>
      <c r="M113" s="102" t="s">
        <v>26</v>
      </c>
      <c r="N113" s="17">
        <f>(N108-N107)*0.007</f>
        <v>0</v>
      </c>
    </row>
    <row r="114" spans="1:14" ht="13.5" hidden="1" thickBot="1">
      <c r="A114" s="347">
        <v>2</v>
      </c>
      <c r="B114" s="201"/>
      <c r="C114" s="347"/>
      <c r="D114" s="16"/>
      <c r="E114" s="103" t="s">
        <v>27</v>
      </c>
      <c r="F114" s="49">
        <v>0</v>
      </c>
      <c r="H114" s="16"/>
      <c r="I114" s="103" t="s">
        <v>27</v>
      </c>
      <c r="J114" s="49">
        <v>0</v>
      </c>
      <c r="L114" s="16"/>
      <c r="M114" s="103" t="s">
        <v>27</v>
      </c>
      <c r="N114" s="49">
        <v>0</v>
      </c>
    </row>
    <row r="115" spans="1:14" ht="16.5" hidden="1" thickBot="1">
      <c r="A115" s="347">
        <v>2</v>
      </c>
      <c r="B115" s="201"/>
      <c r="C115" s="347"/>
      <c r="D115" s="104"/>
      <c r="E115" s="98" t="s">
        <v>28</v>
      </c>
      <c r="F115" s="99">
        <f>SUM(F109:F114)</f>
        <v>0</v>
      </c>
      <c r="H115" s="104"/>
      <c r="I115" s="98" t="s">
        <v>28</v>
      </c>
      <c r="J115" s="99">
        <f>SUM(J109:J114)</f>
        <v>0</v>
      </c>
      <c r="L115" s="104"/>
      <c r="M115" s="98" t="s">
        <v>28</v>
      </c>
      <c r="N115" s="99">
        <f>SUM(N109:N114)</f>
        <v>0</v>
      </c>
    </row>
    <row r="116" spans="1:14" ht="13.5" hidden="1" thickBot="1">
      <c r="A116" s="347">
        <v>2</v>
      </c>
      <c r="B116" s="201"/>
      <c r="C116" s="347"/>
      <c r="D116" s="105"/>
      <c r="E116" s="106"/>
      <c r="F116" s="107"/>
      <c r="H116" s="105"/>
      <c r="I116" s="106"/>
      <c r="J116" s="107"/>
      <c r="L116" s="105"/>
      <c r="M116" s="106"/>
      <c r="N116" s="107"/>
    </row>
    <row r="117" spans="1:14" ht="16.5" hidden="1" thickBot="1">
      <c r="A117" s="347">
        <v>2</v>
      </c>
      <c r="B117" s="207"/>
      <c r="C117" s="347"/>
      <c r="D117" s="108"/>
      <c r="E117" s="109" t="s">
        <v>29</v>
      </c>
      <c r="F117" s="110">
        <f>F108-F115</f>
        <v>0</v>
      </c>
      <c r="H117" s="108"/>
      <c r="I117" s="109" t="s">
        <v>29</v>
      </c>
      <c r="J117" s="110">
        <f>J108-J115</f>
        <v>0</v>
      </c>
      <c r="L117" s="108"/>
      <c r="M117" s="109" t="s">
        <v>29</v>
      </c>
      <c r="N117" s="110">
        <f>N108-N115</f>
        <v>0</v>
      </c>
    </row>
    <row r="118" spans="1:17" s="323" customFormat="1" ht="15.75" hidden="1">
      <c r="A118" s="347">
        <v>2</v>
      </c>
      <c r="B118" s="201"/>
      <c r="C118" s="201"/>
      <c r="D118" s="2"/>
      <c r="E118" s="324"/>
      <c r="F118" s="2"/>
      <c r="G118" s="176"/>
      <c r="H118" s="176"/>
      <c r="I118" s="324"/>
      <c r="J118" s="2"/>
      <c r="K118" s="176"/>
      <c r="L118" s="2"/>
      <c r="M118" s="324"/>
      <c r="N118" s="2"/>
      <c r="O118" s="2"/>
      <c r="P118" s="2"/>
      <c r="Q118" s="2"/>
    </row>
    <row r="119" spans="1:16" s="323" customFormat="1" ht="15.75" hidden="1">
      <c r="A119" s="347">
        <v>2</v>
      </c>
      <c r="B119" s="201"/>
      <c r="C119" s="201"/>
      <c r="D119" s="4"/>
      <c r="E119" s="239"/>
      <c r="F119" s="244"/>
      <c r="G119" s="2"/>
      <c r="H119" s="4"/>
      <c r="I119" s="256" t="s">
        <v>471</v>
      </c>
      <c r="J119" s="257">
        <f>J117-F117</f>
        <v>0</v>
      </c>
      <c r="K119"/>
      <c r="L119"/>
      <c r="M119" s="256" t="s">
        <v>469</v>
      </c>
      <c r="N119" s="257">
        <f>N117-J117</f>
        <v>0</v>
      </c>
      <c r="O119" s="334" t="s">
        <v>467</v>
      </c>
      <c r="P119" s="335">
        <f>N117-F117</f>
        <v>0</v>
      </c>
    </row>
    <row r="120" spans="1:16" ht="15.75" hidden="1">
      <c r="A120" s="347">
        <v>2</v>
      </c>
      <c r="B120" s="207"/>
      <c r="C120" s="207"/>
      <c r="D120" s="4"/>
      <c r="E120" s="239"/>
      <c r="F120" s="244"/>
      <c r="G120" s="11"/>
      <c r="H120" s="4"/>
      <c r="I120" s="256" t="s">
        <v>472</v>
      </c>
      <c r="J120" s="258" t="e">
        <f>J119/F117</f>
        <v>#DIV/0!</v>
      </c>
      <c r="M120" s="256" t="s">
        <v>470</v>
      </c>
      <c r="N120" s="258" t="e">
        <f>N119/J117</f>
        <v>#DIV/0!</v>
      </c>
      <c r="O120" s="334" t="s">
        <v>468</v>
      </c>
      <c r="P120" s="336" t="e">
        <f>P119/F117</f>
        <v>#DIV/0!</v>
      </c>
    </row>
    <row r="121" spans="1:16" ht="15.75" hidden="1">
      <c r="A121" s="347">
        <v>2</v>
      </c>
      <c r="B121" s="207"/>
      <c r="C121" s="207"/>
      <c r="D121" s="4"/>
      <c r="E121" s="239"/>
      <c r="F121" s="244"/>
      <c r="G121" s="11"/>
      <c r="H121" s="4"/>
      <c r="I121" s="341"/>
      <c r="J121" s="342"/>
      <c r="K121" s="315"/>
      <c r="L121" s="327"/>
      <c r="M121" s="341"/>
      <c r="N121" s="342"/>
      <c r="O121" s="343"/>
      <c r="P121" s="344"/>
    </row>
    <row r="122" spans="1:17" ht="15.75">
      <c r="A122" s="347"/>
      <c r="B122" s="207"/>
      <c r="C122" s="350"/>
      <c r="D122" s="351"/>
      <c r="E122" s="352"/>
      <c r="F122" s="207"/>
      <c r="G122" s="350"/>
      <c r="H122" s="353"/>
      <c r="I122" s="354"/>
      <c r="J122" s="354"/>
      <c r="K122" s="354"/>
      <c r="L122" s="354"/>
      <c r="M122" s="207"/>
      <c r="N122" s="349"/>
      <c r="O122" s="201"/>
      <c r="P122" s="76"/>
      <c r="Q122" s="76"/>
    </row>
    <row r="123" ht="12.75" hidden="1"/>
    <row r="124" spans="3:16" s="321" customFormat="1" ht="15.75" hidden="1">
      <c r="C124" s="316"/>
      <c r="F124" s="181"/>
      <c r="G124" s="146"/>
      <c r="H124" s="320"/>
      <c r="I124" s="77"/>
      <c r="J124" s="320"/>
      <c r="K124" s="322"/>
      <c r="L124" s="12"/>
      <c r="M124" s="146"/>
      <c r="N124" s="146"/>
      <c r="O124" s="146"/>
      <c r="P124" s="146"/>
    </row>
    <row r="125" s="321" customFormat="1" ht="12.75" hidden="1"/>
    <row r="126" s="321" customFormat="1" ht="12.75" hidden="1"/>
    <row r="127" spans="1:20" ht="16.5" hidden="1" thickBot="1">
      <c r="A127">
        <v>3</v>
      </c>
      <c r="F127" t="s">
        <v>435</v>
      </c>
      <c r="G127" s="11" t="s">
        <v>439</v>
      </c>
      <c r="H127" s="11" t="s">
        <v>440</v>
      </c>
      <c r="I127" s="144" t="s">
        <v>441</v>
      </c>
      <c r="J127" s="144" t="s">
        <v>442</v>
      </c>
      <c r="K127" s="144" t="s">
        <v>443</v>
      </c>
      <c r="L127" s="144" t="s">
        <v>444</v>
      </c>
      <c r="M127" s="144" t="s">
        <v>445</v>
      </c>
      <c r="N127" s="144" t="s">
        <v>446</v>
      </c>
      <c r="O127" s="164" t="s">
        <v>447</v>
      </c>
      <c r="P127" s="164">
        <v>1</v>
      </c>
      <c r="Q127" s="164">
        <v>2</v>
      </c>
      <c r="R127" s="164">
        <v>3</v>
      </c>
      <c r="S127" s="164">
        <v>4</v>
      </c>
      <c r="T127" s="164">
        <v>5</v>
      </c>
    </row>
    <row r="128" spans="1:20" ht="16.5" hidden="1" thickBot="1">
      <c r="A128">
        <v>3</v>
      </c>
      <c r="E128" s="130">
        <v>0</v>
      </c>
      <c r="F128" s="145">
        <f aca="true" t="shared" si="14" ref="F128:F139">IF(puntosproljorvarios3&lt;620,T128,O128)</f>
        <v>80</v>
      </c>
      <c r="G128" s="145">
        <v>80</v>
      </c>
      <c r="H128" s="265">
        <v>80</v>
      </c>
      <c r="I128" s="165">
        <v>0</v>
      </c>
      <c r="J128" s="166">
        <v>0</v>
      </c>
      <c r="K128" s="167">
        <v>0</v>
      </c>
      <c r="L128" s="266">
        <v>0</v>
      </c>
      <c r="M128" s="267">
        <v>80</v>
      </c>
      <c r="N128" s="268">
        <v>80</v>
      </c>
      <c r="O128" s="168">
        <f aca="true" t="shared" si="15" ref="O128:O139">IF(punbasjubvarios3&gt;971,N128,M128)</f>
        <v>80</v>
      </c>
      <c r="P128" s="168">
        <f aca="true" t="shared" si="16" ref="P128:P139">IF(punbasjubvarios3&lt;972,G128,H128)</f>
        <v>80</v>
      </c>
      <c r="Q128" s="168">
        <f aca="true" t="shared" si="17" ref="Q128:Q139">IF(punbasjubvarios3&lt;1170,P128,I128)</f>
        <v>80</v>
      </c>
      <c r="R128" s="168">
        <f aca="true" t="shared" si="18" ref="R128:R139">IF(punbasjubvarios3&lt;1401,Q128,J128)</f>
        <v>80</v>
      </c>
      <c r="S128" s="168">
        <f aca="true" t="shared" si="19" ref="S128:S138">IF(punbasjubvarios3&lt;1943,R128,K128)</f>
        <v>80</v>
      </c>
      <c r="T128" s="168">
        <f aca="true" t="shared" si="20" ref="T128:T139">IF(punbasjubvarios3&lt;=2220,S128,L128)</f>
        <v>80</v>
      </c>
    </row>
    <row r="129" spans="1:20" ht="16.5" hidden="1" thickBot="1">
      <c r="A129">
        <v>3</v>
      </c>
      <c r="E129" s="131">
        <v>0.1</v>
      </c>
      <c r="F129" s="145">
        <f t="shared" si="14"/>
        <v>90</v>
      </c>
      <c r="G129" s="145">
        <v>90</v>
      </c>
      <c r="H129" s="270">
        <v>90</v>
      </c>
      <c r="I129" s="165">
        <v>0</v>
      </c>
      <c r="J129" s="166">
        <v>0</v>
      </c>
      <c r="K129" s="167">
        <v>0</v>
      </c>
      <c r="L129" s="266">
        <v>0</v>
      </c>
      <c r="M129" s="267">
        <v>90</v>
      </c>
      <c r="N129" s="268">
        <v>90</v>
      </c>
      <c r="O129" s="168">
        <f t="shared" si="15"/>
        <v>90</v>
      </c>
      <c r="P129" s="168">
        <f t="shared" si="16"/>
        <v>90</v>
      </c>
      <c r="Q129" s="168">
        <f t="shared" si="17"/>
        <v>90</v>
      </c>
      <c r="R129" s="168">
        <f t="shared" si="18"/>
        <v>90</v>
      </c>
      <c r="S129" s="168">
        <f t="shared" si="19"/>
        <v>90</v>
      </c>
      <c r="T129" s="168">
        <f t="shared" si="20"/>
        <v>90</v>
      </c>
    </row>
    <row r="130" spans="1:20" ht="16.5" hidden="1" thickBot="1">
      <c r="A130">
        <v>3</v>
      </c>
      <c r="E130" s="132">
        <v>0.15</v>
      </c>
      <c r="F130" s="145">
        <f t="shared" si="14"/>
        <v>180</v>
      </c>
      <c r="G130" s="145">
        <v>180</v>
      </c>
      <c r="H130" s="270">
        <v>180</v>
      </c>
      <c r="I130" s="169">
        <v>240</v>
      </c>
      <c r="J130" s="170">
        <v>193</v>
      </c>
      <c r="K130" s="171">
        <v>180</v>
      </c>
      <c r="L130" s="266">
        <v>0</v>
      </c>
      <c r="M130" s="267">
        <v>220</v>
      </c>
      <c r="N130" s="268">
        <v>220</v>
      </c>
      <c r="O130" s="168">
        <f t="shared" si="15"/>
        <v>220</v>
      </c>
      <c r="P130" s="168">
        <f t="shared" si="16"/>
        <v>180</v>
      </c>
      <c r="Q130" s="168">
        <f t="shared" si="17"/>
        <v>180</v>
      </c>
      <c r="R130" s="168">
        <f t="shared" si="18"/>
        <v>180</v>
      </c>
      <c r="S130" s="168">
        <f t="shared" si="19"/>
        <v>180</v>
      </c>
      <c r="T130" s="168">
        <f t="shared" si="20"/>
        <v>180</v>
      </c>
    </row>
    <row r="131" spans="1:20" ht="16.5" hidden="1" thickBot="1">
      <c r="A131">
        <v>3</v>
      </c>
      <c r="E131" s="132">
        <v>0.3</v>
      </c>
      <c r="F131" s="145">
        <f t="shared" si="14"/>
        <v>225</v>
      </c>
      <c r="G131" s="145">
        <v>225</v>
      </c>
      <c r="H131" s="270">
        <v>195</v>
      </c>
      <c r="I131" s="169">
        <v>240</v>
      </c>
      <c r="J131" s="170">
        <v>193</v>
      </c>
      <c r="K131" s="171">
        <v>180</v>
      </c>
      <c r="L131" s="266">
        <v>0</v>
      </c>
      <c r="M131" s="267">
        <v>380</v>
      </c>
      <c r="N131" s="268">
        <v>350</v>
      </c>
      <c r="O131" s="168">
        <f t="shared" si="15"/>
        <v>380</v>
      </c>
      <c r="P131" s="168">
        <f t="shared" si="16"/>
        <v>225</v>
      </c>
      <c r="Q131" s="168">
        <f t="shared" si="17"/>
        <v>225</v>
      </c>
      <c r="R131" s="168">
        <f t="shared" si="18"/>
        <v>225</v>
      </c>
      <c r="S131" s="168">
        <f t="shared" si="19"/>
        <v>225</v>
      </c>
      <c r="T131" s="168">
        <f t="shared" si="20"/>
        <v>225</v>
      </c>
    </row>
    <row r="132" spans="1:20" ht="16.5" hidden="1" thickBot="1">
      <c r="A132">
        <v>3</v>
      </c>
      <c r="E132" s="132">
        <v>0.4</v>
      </c>
      <c r="F132" s="145">
        <f t="shared" si="14"/>
        <v>250</v>
      </c>
      <c r="G132" s="145">
        <v>250</v>
      </c>
      <c r="H132" s="270">
        <v>210</v>
      </c>
      <c r="I132" s="169">
        <v>250</v>
      </c>
      <c r="J132" s="170">
        <v>200</v>
      </c>
      <c r="K132" s="171">
        <v>180</v>
      </c>
      <c r="L132" s="266">
        <v>140</v>
      </c>
      <c r="M132" s="267">
        <v>440</v>
      </c>
      <c r="N132" s="268">
        <v>400</v>
      </c>
      <c r="O132" s="168">
        <f t="shared" si="15"/>
        <v>440</v>
      </c>
      <c r="P132" s="168">
        <f t="shared" si="16"/>
        <v>250</v>
      </c>
      <c r="Q132" s="168">
        <f t="shared" si="17"/>
        <v>250</v>
      </c>
      <c r="R132" s="168">
        <f t="shared" si="18"/>
        <v>250</v>
      </c>
      <c r="S132" s="168">
        <f t="shared" si="19"/>
        <v>250</v>
      </c>
      <c r="T132" s="168">
        <f t="shared" si="20"/>
        <v>250</v>
      </c>
    </row>
    <row r="133" spans="1:20" ht="16.5" hidden="1" thickBot="1">
      <c r="A133">
        <v>3</v>
      </c>
      <c r="E133" s="132">
        <v>0.5</v>
      </c>
      <c r="F133" s="145">
        <f t="shared" si="14"/>
        <v>270</v>
      </c>
      <c r="G133" s="145">
        <v>270</v>
      </c>
      <c r="H133" s="270">
        <v>230</v>
      </c>
      <c r="I133" s="169">
        <v>250</v>
      </c>
      <c r="J133" s="148">
        <v>200</v>
      </c>
      <c r="K133" s="171">
        <v>180</v>
      </c>
      <c r="L133" s="266">
        <v>140</v>
      </c>
      <c r="M133" s="267">
        <v>475</v>
      </c>
      <c r="N133" s="268">
        <v>435</v>
      </c>
      <c r="O133" s="168">
        <f t="shared" si="15"/>
        <v>475</v>
      </c>
      <c r="P133" s="168">
        <f t="shared" si="16"/>
        <v>270</v>
      </c>
      <c r="Q133" s="168">
        <f t="shared" si="17"/>
        <v>270</v>
      </c>
      <c r="R133" s="168">
        <f t="shared" si="18"/>
        <v>270</v>
      </c>
      <c r="S133" s="168">
        <f t="shared" si="19"/>
        <v>270</v>
      </c>
      <c r="T133" s="168">
        <f t="shared" si="20"/>
        <v>270</v>
      </c>
    </row>
    <row r="134" spans="1:20" ht="16.5" hidden="1" thickBot="1">
      <c r="A134">
        <v>3</v>
      </c>
      <c r="E134" s="132">
        <v>0.6</v>
      </c>
      <c r="F134" s="145">
        <f t="shared" si="14"/>
        <v>320</v>
      </c>
      <c r="G134" s="145">
        <v>320</v>
      </c>
      <c r="H134" s="270">
        <v>260</v>
      </c>
      <c r="I134" s="169">
        <v>260</v>
      </c>
      <c r="J134" s="148">
        <v>203</v>
      </c>
      <c r="K134" s="171">
        <v>190</v>
      </c>
      <c r="L134" s="266">
        <v>160</v>
      </c>
      <c r="M134" s="267">
        <v>510</v>
      </c>
      <c r="N134" s="268">
        <v>450</v>
      </c>
      <c r="O134" s="168">
        <f t="shared" si="15"/>
        <v>510</v>
      </c>
      <c r="P134" s="168">
        <f t="shared" si="16"/>
        <v>320</v>
      </c>
      <c r="Q134" s="168">
        <f t="shared" si="17"/>
        <v>320</v>
      </c>
      <c r="R134" s="168">
        <f t="shared" si="18"/>
        <v>320</v>
      </c>
      <c r="S134" s="168">
        <f t="shared" si="19"/>
        <v>320</v>
      </c>
      <c r="T134" s="168">
        <f t="shared" si="20"/>
        <v>320</v>
      </c>
    </row>
    <row r="135" spans="1:20" ht="16.5" hidden="1" thickBot="1">
      <c r="A135">
        <v>3</v>
      </c>
      <c r="E135" s="132">
        <v>0.7</v>
      </c>
      <c r="F135" s="145">
        <f t="shared" si="14"/>
        <v>345</v>
      </c>
      <c r="G135" s="145">
        <v>345</v>
      </c>
      <c r="H135" s="270">
        <v>285</v>
      </c>
      <c r="I135" s="169">
        <v>365</v>
      </c>
      <c r="J135" s="148">
        <v>230</v>
      </c>
      <c r="K135" s="171">
        <v>190</v>
      </c>
      <c r="L135" s="266">
        <v>160</v>
      </c>
      <c r="M135" s="267">
        <v>525</v>
      </c>
      <c r="N135" s="268">
        <v>465</v>
      </c>
      <c r="O135" s="168">
        <f t="shared" si="15"/>
        <v>525</v>
      </c>
      <c r="P135" s="168">
        <f t="shared" si="16"/>
        <v>345</v>
      </c>
      <c r="Q135" s="168">
        <f t="shared" si="17"/>
        <v>345</v>
      </c>
      <c r="R135" s="168">
        <f t="shared" si="18"/>
        <v>345</v>
      </c>
      <c r="S135" s="168">
        <f t="shared" si="19"/>
        <v>345</v>
      </c>
      <c r="T135" s="168">
        <f t="shared" si="20"/>
        <v>345</v>
      </c>
    </row>
    <row r="136" spans="1:20" ht="16.5" hidden="1" thickBot="1">
      <c r="A136">
        <v>3</v>
      </c>
      <c r="E136" s="132">
        <v>0.8</v>
      </c>
      <c r="F136" s="145">
        <f t="shared" si="14"/>
        <v>425</v>
      </c>
      <c r="G136" s="145">
        <v>425</v>
      </c>
      <c r="H136" s="270">
        <v>345</v>
      </c>
      <c r="I136" s="147">
        <v>395</v>
      </c>
      <c r="J136" s="148">
        <v>340</v>
      </c>
      <c r="K136" s="172">
        <v>280</v>
      </c>
      <c r="L136" s="272">
        <v>180</v>
      </c>
      <c r="M136" s="267">
        <v>555</v>
      </c>
      <c r="N136" s="268">
        <v>475</v>
      </c>
      <c r="O136" s="168">
        <f t="shared" si="15"/>
        <v>555</v>
      </c>
      <c r="P136" s="168">
        <f t="shared" si="16"/>
        <v>425</v>
      </c>
      <c r="Q136" s="168">
        <f t="shared" si="17"/>
        <v>425</v>
      </c>
      <c r="R136" s="168">
        <f t="shared" si="18"/>
        <v>425</v>
      </c>
      <c r="S136" s="168">
        <f t="shared" si="19"/>
        <v>425</v>
      </c>
      <c r="T136" s="168">
        <f t="shared" si="20"/>
        <v>425</v>
      </c>
    </row>
    <row r="137" spans="1:20" ht="16.5" hidden="1" thickBot="1">
      <c r="A137">
        <v>3</v>
      </c>
      <c r="E137" s="132">
        <v>1</v>
      </c>
      <c r="F137" s="145">
        <f t="shared" si="14"/>
        <v>535</v>
      </c>
      <c r="G137" s="145">
        <v>535</v>
      </c>
      <c r="H137" s="270">
        <v>435</v>
      </c>
      <c r="I137" s="147">
        <v>410</v>
      </c>
      <c r="J137" s="148">
        <v>330</v>
      </c>
      <c r="K137" s="172">
        <v>310</v>
      </c>
      <c r="L137" s="272">
        <v>180</v>
      </c>
      <c r="M137" s="267">
        <v>590</v>
      </c>
      <c r="N137" s="268">
        <v>490</v>
      </c>
      <c r="O137" s="168">
        <f t="shared" si="15"/>
        <v>590</v>
      </c>
      <c r="P137" s="168">
        <f t="shared" si="16"/>
        <v>535</v>
      </c>
      <c r="Q137" s="168">
        <f t="shared" si="17"/>
        <v>535</v>
      </c>
      <c r="R137" s="168">
        <f t="shared" si="18"/>
        <v>535</v>
      </c>
      <c r="S137" s="168">
        <f t="shared" si="19"/>
        <v>535</v>
      </c>
      <c r="T137" s="168">
        <f t="shared" si="20"/>
        <v>535</v>
      </c>
    </row>
    <row r="138" spans="1:20" ht="16.5" hidden="1" thickBot="1">
      <c r="A138">
        <v>3</v>
      </c>
      <c r="E138" s="132">
        <v>1.1</v>
      </c>
      <c r="F138" s="145">
        <f t="shared" si="14"/>
        <v>605</v>
      </c>
      <c r="G138" s="145">
        <v>605</v>
      </c>
      <c r="H138" s="270">
        <v>495</v>
      </c>
      <c r="I138" s="147">
        <v>430</v>
      </c>
      <c r="J138" s="148">
        <v>330</v>
      </c>
      <c r="K138" s="172">
        <v>320</v>
      </c>
      <c r="L138" s="272">
        <v>190</v>
      </c>
      <c r="M138" s="267">
        <v>615</v>
      </c>
      <c r="N138" s="268">
        <v>505</v>
      </c>
      <c r="O138" s="168">
        <f t="shared" si="15"/>
        <v>615</v>
      </c>
      <c r="P138" s="168">
        <f t="shared" si="16"/>
        <v>605</v>
      </c>
      <c r="Q138" s="168">
        <f t="shared" si="17"/>
        <v>605</v>
      </c>
      <c r="R138" s="168">
        <f t="shared" si="18"/>
        <v>605</v>
      </c>
      <c r="S138" s="168">
        <f t="shared" si="19"/>
        <v>605</v>
      </c>
      <c r="T138" s="168">
        <f t="shared" si="20"/>
        <v>605</v>
      </c>
    </row>
    <row r="139" spans="1:20" ht="16.5" hidden="1" thickBot="1">
      <c r="A139">
        <v>3</v>
      </c>
      <c r="E139" s="133">
        <v>1.2</v>
      </c>
      <c r="F139" s="145">
        <f t="shared" si="14"/>
        <v>620</v>
      </c>
      <c r="G139" s="145">
        <v>620</v>
      </c>
      <c r="H139" s="270">
        <v>510</v>
      </c>
      <c r="I139" s="147">
        <v>480</v>
      </c>
      <c r="J139" s="148">
        <v>335</v>
      </c>
      <c r="K139" s="172">
        <v>330</v>
      </c>
      <c r="L139" s="272">
        <v>190</v>
      </c>
      <c r="M139" s="267">
        <v>620</v>
      </c>
      <c r="N139" s="268">
        <v>510</v>
      </c>
      <c r="O139" s="168">
        <f t="shared" si="15"/>
        <v>620</v>
      </c>
      <c r="P139" s="168">
        <f t="shared" si="16"/>
        <v>620</v>
      </c>
      <c r="Q139" s="168">
        <f t="shared" si="17"/>
        <v>620</v>
      </c>
      <c r="R139" s="168">
        <f t="shared" si="18"/>
        <v>620</v>
      </c>
      <c r="S139" s="168">
        <f>IF(punbasjubvarios1&lt;1943,R139,K139)</f>
        <v>620</v>
      </c>
      <c r="T139" s="168">
        <f t="shared" si="20"/>
        <v>620</v>
      </c>
    </row>
    <row r="140" spans="1:20" s="315" customFormat="1" ht="15.75" hidden="1">
      <c r="A140">
        <v>3</v>
      </c>
      <c r="E140" s="316"/>
      <c r="F140" s="181"/>
      <c r="G140" s="181"/>
      <c r="H140" s="317"/>
      <c r="I140" s="318"/>
      <c r="J140" s="318"/>
      <c r="K140" s="181"/>
      <c r="L140" s="12"/>
      <c r="M140" s="146"/>
      <c r="N140" s="146"/>
      <c r="O140" s="146"/>
      <c r="P140" s="146"/>
      <c r="Q140" s="146"/>
      <c r="R140" s="146"/>
      <c r="S140" s="146"/>
      <c r="T140" s="146"/>
    </row>
    <row r="141" spans="1:20" s="315" customFormat="1" ht="15.75" hidden="1">
      <c r="A141">
        <v>3</v>
      </c>
      <c r="E141" s="316"/>
      <c r="F141" s="181" t="s">
        <v>465</v>
      </c>
      <c r="G141" s="181">
        <f>LOOKUP(F157,porantvar3,cod06cargosvar3)</f>
        <v>620</v>
      </c>
      <c r="H141" s="317"/>
      <c r="I141" s="318"/>
      <c r="J141" s="318"/>
      <c r="K141" s="181"/>
      <c r="L141" s="12"/>
      <c r="M141" s="146"/>
      <c r="N141" s="146"/>
      <c r="O141" s="146"/>
      <c r="P141" s="146"/>
      <c r="Q141" s="146"/>
      <c r="R141" s="146"/>
      <c r="S141" s="146"/>
      <c r="T141" s="146"/>
    </row>
    <row r="142" s="321" customFormat="1" ht="12.75" hidden="1">
      <c r="A142">
        <v>3</v>
      </c>
    </row>
    <row r="143" ht="12.75" hidden="1">
      <c r="A143">
        <v>3</v>
      </c>
    </row>
    <row r="144" spans="1:15" ht="12.75">
      <c r="A144" s="359">
        <v>3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</row>
    <row r="145" spans="1:17" ht="20.25">
      <c r="A145" s="359">
        <v>3</v>
      </c>
      <c r="B145" s="210"/>
      <c r="C145" s="61"/>
      <c r="D145" s="61"/>
      <c r="E145" s="84" t="s">
        <v>429</v>
      </c>
      <c r="F145" s="11"/>
      <c r="G145" s="11"/>
      <c r="H145" s="61"/>
      <c r="I145" s="61"/>
      <c r="J145" s="61"/>
      <c r="K145" s="61"/>
      <c r="L145" s="61"/>
      <c r="M145" s="61"/>
      <c r="N145" s="209"/>
      <c r="O145" s="367"/>
      <c r="P145" s="181"/>
      <c r="Q145" s="181"/>
    </row>
    <row r="146" spans="1:17" ht="12.75">
      <c r="A146" s="359">
        <v>3</v>
      </c>
      <c r="B146" s="210"/>
      <c r="C146" s="210"/>
      <c r="D146" s="210"/>
      <c r="E146" s="210"/>
      <c r="F146" s="210"/>
      <c r="G146" s="210"/>
      <c r="H146" s="361"/>
      <c r="I146" s="210"/>
      <c r="J146" s="210"/>
      <c r="K146" s="210"/>
      <c r="L146" s="210"/>
      <c r="M146" s="210"/>
      <c r="N146" s="209"/>
      <c r="O146" s="367"/>
      <c r="P146" s="181"/>
      <c r="Q146" s="181"/>
    </row>
    <row r="147" spans="1:17" ht="12.75">
      <c r="A147" s="359">
        <v>3</v>
      </c>
      <c r="B147" s="359"/>
      <c r="C147" s="359"/>
      <c r="D147" s="45" t="s">
        <v>52</v>
      </c>
      <c r="E147" s="45" t="s">
        <v>356</v>
      </c>
      <c r="F147" s="45" t="s">
        <v>357</v>
      </c>
      <c r="G147" s="45" t="s">
        <v>358</v>
      </c>
      <c r="H147" s="45" t="s">
        <v>359</v>
      </c>
      <c r="I147" s="105" t="s">
        <v>452</v>
      </c>
      <c r="J147" s="210"/>
      <c r="K147" s="210"/>
      <c r="L147" s="210"/>
      <c r="M147" s="210"/>
      <c r="N147" s="209"/>
      <c r="O147" s="367"/>
      <c r="P147" s="181"/>
      <c r="Q147" s="181"/>
    </row>
    <row r="148" spans="1:17" ht="16.5" thickBot="1">
      <c r="A148" s="359">
        <v>3</v>
      </c>
      <c r="B148" s="359"/>
      <c r="C148" s="359"/>
      <c r="D148" s="123">
        <v>749</v>
      </c>
      <c r="E148" s="85">
        <f>LOOKUP(D148,[0]!numerocargo,[0]!puntosbasicoscargo)</f>
        <v>971</v>
      </c>
      <c r="F148" s="85">
        <f>LOOKUP(D148,[0]!numerocargo,[0]!tardifcargo)</f>
        <v>0</v>
      </c>
      <c r="G148" s="85">
        <f>LOOKUP(D148,[0]!numerocargo,[0]!proljorcargo)</f>
        <v>0</v>
      </c>
      <c r="H148" s="85">
        <f>LOOKUP(D148,[0]!numerocargo,[0]!jorcomcargo)</f>
        <v>0</v>
      </c>
      <c r="I148" s="45">
        <f>LOOKUP(D148,Cargos!A3:A314,puntoscompbasico)</f>
        <v>170</v>
      </c>
      <c r="J148" s="210"/>
      <c r="K148" s="210"/>
      <c r="L148" s="210"/>
      <c r="M148" s="210"/>
      <c r="N148" s="209"/>
      <c r="O148" s="367"/>
      <c r="P148" s="181"/>
      <c r="Q148" s="181"/>
    </row>
    <row r="149" spans="1:17" ht="13.5" thickBot="1">
      <c r="A149" s="359">
        <v>3</v>
      </c>
      <c r="B149" s="359"/>
      <c r="C149" s="359"/>
      <c r="D149" s="86" t="s">
        <v>53</v>
      </c>
      <c r="E149" s="87" t="str">
        <f>LOOKUP(D148,[0]!numerocargo,[0]!nombrecargo)</f>
        <v> MAESTRO DE GRADO</v>
      </c>
      <c r="F149" s="43"/>
      <c r="G149" s="43"/>
      <c r="H149" s="64"/>
      <c r="I149" s="12"/>
      <c r="J149" s="210"/>
      <c r="K149" s="210"/>
      <c r="L149" s="210"/>
      <c r="M149" s="210"/>
      <c r="N149" s="209"/>
      <c r="O149" s="367"/>
      <c r="P149" s="181"/>
      <c r="Q149" s="181"/>
    </row>
    <row r="150" spans="1:17" ht="13.5" hidden="1" thickBot="1">
      <c r="A150" s="359">
        <v>3</v>
      </c>
      <c r="B150" s="359"/>
      <c r="C150" s="359"/>
      <c r="D150" s="182"/>
      <c r="E150" s="10"/>
      <c r="F150" s="2"/>
      <c r="G150" s="2"/>
      <c r="H150" s="2"/>
      <c r="I150" s="139" t="s">
        <v>384</v>
      </c>
      <c r="J150" s="373"/>
      <c r="K150" s="373"/>
      <c r="L150" s="373"/>
      <c r="M150" s="210"/>
      <c r="N150" s="210"/>
      <c r="O150" s="210"/>
      <c r="P150" s="11"/>
      <c r="Q150" s="11"/>
    </row>
    <row r="151" spans="1:17" ht="19.5" thickBot="1" thickTop="1">
      <c r="A151" s="359">
        <v>3</v>
      </c>
      <c r="B151" s="359"/>
      <c r="C151" s="359"/>
      <c r="D151" s="183" t="s">
        <v>373</v>
      </c>
      <c r="E151" s="129"/>
      <c r="F151" s="129"/>
      <c r="G151" s="129"/>
      <c r="H151" s="184">
        <v>0</v>
      </c>
      <c r="I151" s="140">
        <f>H151/120</f>
        <v>0</v>
      </c>
      <c r="J151" s="361"/>
      <c r="K151" s="361"/>
      <c r="L151" s="361"/>
      <c r="M151" s="210"/>
      <c r="N151" s="210"/>
      <c r="O151" s="210"/>
      <c r="P151" s="11"/>
      <c r="Q151" s="11"/>
    </row>
    <row r="152" spans="1:17" ht="17.25" hidden="1" thickBot="1" thickTop="1">
      <c r="A152" s="359">
        <v>3</v>
      </c>
      <c r="B152" s="360"/>
      <c r="C152" s="361"/>
      <c r="D152" s="2"/>
      <c r="E152" s="2"/>
      <c r="F152" s="185"/>
      <c r="G152" s="12"/>
      <c r="H152" s="10"/>
      <c r="I152" s="12"/>
      <c r="J152" s="210"/>
      <c r="K152" s="210"/>
      <c r="L152" s="210"/>
      <c r="M152" s="210"/>
      <c r="N152" s="210"/>
      <c r="O152" s="210"/>
      <c r="P152" s="11"/>
      <c r="Q152" s="11"/>
    </row>
    <row r="153" spans="1:17" ht="17.25" thickBot="1" thickTop="1">
      <c r="A153" s="359">
        <v>3</v>
      </c>
      <c r="B153" s="360"/>
      <c r="C153" s="359"/>
      <c r="D153" s="127" t="s">
        <v>386</v>
      </c>
      <c r="E153" s="143">
        <v>0</v>
      </c>
      <c r="F153" s="185"/>
      <c r="G153" s="12"/>
      <c r="H153" s="10"/>
      <c r="I153" s="210"/>
      <c r="J153" s="210"/>
      <c r="K153" s="210"/>
      <c r="L153" s="210"/>
      <c r="M153" s="210"/>
      <c r="N153" s="210"/>
      <c r="O153" s="210"/>
      <c r="P153" s="11"/>
      <c r="Q153" s="11"/>
    </row>
    <row r="154" spans="1:17" ht="13.5" hidden="1" thickTop="1">
      <c r="A154" s="359">
        <v>3</v>
      </c>
      <c r="B154" s="360"/>
      <c r="C154" s="361"/>
      <c r="D154" s="2"/>
      <c r="E154" s="2"/>
      <c r="F154" s="2"/>
      <c r="G154" s="12"/>
      <c r="H154" s="10"/>
      <c r="I154" s="210"/>
      <c r="J154" s="210"/>
      <c r="K154" s="210"/>
      <c r="L154" s="210"/>
      <c r="M154" s="210"/>
      <c r="N154" s="210"/>
      <c r="O154" s="210"/>
      <c r="P154" s="11"/>
      <c r="Q154" s="11"/>
    </row>
    <row r="155" spans="1:17" ht="13.5" hidden="1" thickBot="1">
      <c r="A155" s="359">
        <v>3</v>
      </c>
      <c r="B155" s="210"/>
      <c r="C155" s="61"/>
      <c r="D155" s="11"/>
      <c r="E155" s="11"/>
      <c r="F155" s="11"/>
      <c r="G155" s="11"/>
      <c r="H155" s="11"/>
      <c r="I155" s="61"/>
      <c r="J155" s="61"/>
      <c r="K155" s="61"/>
      <c r="L155" s="61"/>
      <c r="M155" s="61"/>
      <c r="N155" s="61"/>
      <c r="O155" s="61"/>
      <c r="P155" s="11"/>
      <c r="Q155" s="11"/>
    </row>
    <row r="156" spans="1:17" ht="17.25" thickBot="1" thickTop="1">
      <c r="A156" s="359">
        <v>3</v>
      </c>
      <c r="B156" s="210"/>
      <c r="C156" s="61"/>
      <c r="D156" s="88" t="s">
        <v>14</v>
      </c>
      <c r="E156" s="43"/>
      <c r="F156" s="89">
        <f>E148*indicesep07</f>
        <v>480.645</v>
      </c>
      <c r="G156" s="11"/>
      <c r="H156" s="11"/>
      <c r="I156" s="61"/>
      <c r="J156" s="61"/>
      <c r="K156" s="61"/>
      <c r="L156" s="61"/>
      <c r="M156" s="211"/>
      <c r="N156" s="211"/>
      <c r="O156" s="61"/>
      <c r="P156" s="11"/>
      <c r="Q156" s="11"/>
    </row>
    <row r="157" spans="1:17" ht="16.5" thickBot="1">
      <c r="A157" s="359">
        <v>3</v>
      </c>
      <c r="B157" s="210"/>
      <c r="C157" s="61"/>
      <c r="D157" s="88" t="s">
        <v>15</v>
      </c>
      <c r="E157" s="43"/>
      <c r="F157" s="126">
        <v>1.2</v>
      </c>
      <c r="G157" s="11" t="s">
        <v>16</v>
      </c>
      <c r="H157" s="11"/>
      <c r="I157" s="61"/>
      <c r="J157" s="61"/>
      <c r="K157" s="61"/>
      <c r="L157" s="61"/>
      <c r="M157" s="61"/>
      <c r="N157" s="211"/>
      <c r="O157" s="61"/>
      <c r="P157" s="11"/>
      <c r="Q157" s="11"/>
    </row>
    <row r="158" spans="1:17" ht="15.75">
      <c r="A158" s="359">
        <v>3</v>
      </c>
      <c r="B158" s="210"/>
      <c r="C158" s="61"/>
      <c r="D158" s="210"/>
      <c r="E158" s="210"/>
      <c r="F158" s="212"/>
      <c r="G158" s="61"/>
      <c r="H158" s="61"/>
      <c r="I158" s="61"/>
      <c r="J158" s="61"/>
      <c r="K158" s="61"/>
      <c r="L158" s="61"/>
      <c r="M158" s="61"/>
      <c r="N158" s="213"/>
      <c r="O158" s="61"/>
      <c r="P158" s="11"/>
      <c r="Q158" s="11"/>
    </row>
    <row r="159" spans="1:17" ht="18.75" thickBot="1">
      <c r="A159" s="359">
        <v>3</v>
      </c>
      <c r="B159" s="210"/>
      <c r="C159" s="61"/>
      <c r="D159" s="91" t="s">
        <v>17</v>
      </c>
      <c r="E159" s="91"/>
      <c r="F159" s="92">
        <f>E148</f>
        <v>971</v>
      </c>
      <c r="G159" s="11" t="s">
        <v>18</v>
      </c>
      <c r="H159" s="11"/>
      <c r="I159" s="90">
        <f>H148+G148</f>
        <v>0</v>
      </c>
      <c r="J159" s="90"/>
      <c r="K159" s="90"/>
      <c r="L159" s="90"/>
      <c r="M159" s="2"/>
      <c r="N159" s="11"/>
      <c r="O159" s="61"/>
      <c r="P159" s="11"/>
      <c r="Q159" s="11"/>
    </row>
    <row r="160" spans="1:17" ht="15.75">
      <c r="A160" s="359">
        <v>3</v>
      </c>
      <c r="B160" s="210"/>
      <c r="C160" s="61"/>
      <c r="D160" s="2"/>
      <c r="E160" s="2"/>
      <c r="F160" s="189"/>
      <c r="G160" s="11"/>
      <c r="H160" s="11"/>
      <c r="I160" s="2"/>
      <c r="J160" s="2"/>
      <c r="K160" s="2"/>
      <c r="L160" s="2"/>
      <c r="M160" s="93"/>
      <c r="N160" s="11"/>
      <c r="O160" s="61"/>
      <c r="P160" s="11"/>
      <c r="Q160" s="11"/>
    </row>
    <row r="161" spans="1:15" ht="15.75">
      <c r="A161" s="359">
        <v>3</v>
      </c>
      <c r="B161" s="210"/>
      <c r="C161" s="61"/>
      <c r="D161" s="11"/>
      <c r="E161" s="173" t="s">
        <v>455</v>
      </c>
      <c r="F161" s="11"/>
      <c r="G161" s="61"/>
      <c r="H161" s="11"/>
      <c r="I161" s="173" t="s">
        <v>461</v>
      </c>
      <c r="J161" s="11"/>
      <c r="K161" s="359"/>
      <c r="L161" s="11"/>
      <c r="M161" s="173" t="s">
        <v>473</v>
      </c>
      <c r="N161" s="11"/>
      <c r="O161" s="359"/>
    </row>
    <row r="162" spans="1:15" ht="12.75">
      <c r="A162" s="359">
        <v>3</v>
      </c>
      <c r="B162" s="210"/>
      <c r="C162" s="359"/>
      <c r="D162" s="18">
        <v>400</v>
      </c>
      <c r="E162" s="18" t="s">
        <v>19</v>
      </c>
      <c r="F162" s="94">
        <f>punbasjubvarios3*indicesep07*0.82*frac3</f>
        <v>0</v>
      </c>
      <c r="G162" s="359"/>
      <c r="H162" s="18">
        <v>400</v>
      </c>
      <c r="I162" s="18" t="s">
        <v>19</v>
      </c>
      <c r="J162" s="94">
        <f>punbasjubvarios3*indicemar08*0.82*frac3</f>
        <v>0</v>
      </c>
      <c r="K162" s="359"/>
      <c r="L162" s="18">
        <v>400</v>
      </c>
      <c r="M162" s="18" t="s">
        <v>19</v>
      </c>
      <c r="N162" s="94">
        <f>punbasjubvarios3*indicejul08*0.82*frac3</f>
        <v>0</v>
      </c>
      <c r="O162" s="359"/>
    </row>
    <row r="163" spans="1:15" ht="12.75">
      <c r="A163" s="359">
        <v>3</v>
      </c>
      <c r="B163" s="210"/>
      <c r="C163" s="359"/>
      <c r="D163" s="18" t="s">
        <v>463</v>
      </c>
      <c r="E163" s="18" t="s">
        <v>454</v>
      </c>
      <c r="F163" s="296">
        <v>0</v>
      </c>
      <c r="G163" s="359"/>
      <c r="H163" s="18" t="s">
        <v>463</v>
      </c>
      <c r="I163" s="18" t="s">
        <v>454</v>
      </c>
      <c r="J163" s="296">
        <f>compbasicovarios3*indicemar08*0.82*frac3</f>
        <v>0</v>
      </c>
      <c r="K163" s="359"/>
      <c r="L163" s="18" t="s">
        <v>463</v>
      </c>
      <c r="M163" s="18" t="s">
        <v>454</v>
      </c>
      <c r="N163" s="296">
        <f>compbasicovarios3*indicejul08*0.82*frac3</f>
        <v>0</v>
      </c>
      <c r="O163" s="359"/>
    </row>
    <row r="164" spans="1:15" ht="12.75" hidden="1">
      <c r="A164" s="359">
        <v>3</v>
      </c>
      <c r="B164" s="210"/>
      <c r="C164" s="359"/>
      <c r="D164" s="18">
        <v>404</v>
      </c>
      <c r="E164" s="18" t="s">
        <v>361</v>
      </c>
      <c r="F164" s="94">
        <f>F148*indicesep07*0.82*frac3</f>
        <v>0</v>
      </c>
      <c r="H164" s="18">
        <v>404</v>
      </c>
      <c r="I164" s="18" t="s">
        <v>361</v>
      </c>
      <c r="J164" s="94">
        <f>F148*indicemar08*0.82*frac1</f>
        <v>0</v>
      </c>
      <c r="L164" s="18">
        <v>404</v>
      </c>
      <c r="M164" s="18" t="s">
        <v>361</v>
      </c>
      <c r="N164" s="94">
        <f>F148*indicejul08*0.82*frac3</f>
        <v>0</v>
      </c>
      <c r="O164" s="359"/>
    </row>
    <row r="165" spans="1:15" ht="12.75" hidden="1">
      <c r="A165" s="359">
        <v>3</v>
      </c>
      <c r="B165" s="210"/>
      <c r="C165" s="359"/>
      <c r="D165" s="18">
        <v>406</v>
      </c>
      <c r="E165" s="18" t="s">
        <v>20</v>
      </c>
      <c r="F165" s="94">
        <f>(F162+F163+F164+F167)*F157</f>
        <v>0</v>
      </c>
      <c r="H165" s="18">
        <v>406</v>
      </c>
      <c r="I165" s="18" t="s">
        <v>20</v>
      </c>
      <c r="J165" s="94">
        <f>(J162+J163+J164+J167)*F157</f>
        <v>0</v>
      </c>
      <c r="L165" s="18">
        <v>406</v>
      </c>
      <c r="M165" s="18" t="s">
        <v>20</v>
      </c>
      <c r="N165" s="94">
        <f>(N162+N163+N164+N167)*F157</f>
        <v>0</v>
      </c>
      <c r="O165" s="359"/>
    </row>
    <row r="166" spans="1:15" ht="12.75" hidden="1">
      <c r="A166" s="359">
        <v>3</v>
      </c>
      <c r="B166" s="210"/>
      <c r="C166" s="359"/>
      <c r="D166" s="18">
        <v>408</v>
      </c>
      <c r="E166" s="18" t="s">
        <v>385</v>
      </c>
      <c r="F166" s="94">
        <f>(F162+F167+F163+F164)*E153</f>
        <v>0</v>
      </c>
      <c r="H166" s="18">
        <v>408</v>
      </c>
      <c r="I166" s="18" t="s">
        <v>385</v>
      </c>
      <c r="J166" s="94">
        <f>(J162+J163+J164+J167)*E153</f>
        <v>0</v>
      </c>
      <c r="L166" s="18">
        <v>408</v>
      </c>
      <c r="M166" s="18" t="s">
        <v>385</v>
      </c>
      <c r="N166" s="94">
        <f>(N162+N163+N164+N167)*E153</f>
        <v>0</v>
      </c>
      <c r="O166" s="359"/>
    </row>
    <row r="167" spans="1:15" ht="12.75" hidden="1">
      <c r="A167" s="359">
        <v>3</v>
      </c>
      <c r="B167" s="210"/>
      <c r="C167" s="359"/>
      <c r="D167" s="18">
        <v>416</v>
      </c>
      <c r="E167" s="95" t="s">
        <v>362</v>
      </c>
      <c r="F167" s="94">
        <f>puntosproljorvarios3*proljorsep07*0.82*frac3</f>
        <v>0</v>
      </c>
      <c r="H167" s="18">
        <v>416</v>
      </c>
      <c r="I167" s="95" t="s">
        <v>362</v>
      </c>
      <c r="J167" s="94">
        <f>puntosproljorvarios3*proljormar08*0.82*frac3</f>
        <v>0</v>
      </c>
      <c r="L167" s="18">
        <v>416</v>
      </c>
      <c r="M167" s="95" t="s">
        <v>362</v>
      </c>
      <c r="N167" s="94">
        <f>puntosproljorvarios3*proljorjul08*0.82*frac3</f>
        <v>0</v>
      </c>
      <c r="O167" s="359"/>
    </row>
    <row r="168" spans="1:15" ht="12.75" hidden="1">
      <c r="A168" s="359">
        <v>3</v>
      </c>
      <c r="B168" s="210"/>
      <c r="C168" s="359"/>
      <c r="D168" s="18">
        <v>432</v>
      </c>
      <c r="E168" s="18" t="s">
        <v>383</v>
      </c>
      <c r="F168" s="94">
        <f>cod06sep07varios3*0.82*frac3</f>
        <v>0</v>
      </c>
      <c r="H168" s="18">
        <v>432</v>
      </c>
      <c r="I168" s="18" t="s">
        <v>383</v>
      </c>
      <c r="J168" s="94">
        <f>cod06sep07varios3*0.82*frac3</f>
        <v>0</v>
      </c>
      <c r="L168" s="18">
        <v>432</v>
      </c>
      <c r="M168" s="18" t="s">
        <v>383</v>
      </c>
      <c r="N168" s="94">
        <f>cod06sep07varios3*0.82*frac3</f>
        <v>0</v>
      </c>
      <c r="O168" s="359"/>
    </row>
    <row r="169" spans="1:15" ht="12.75" hidden="1">
      <c r="A169" s="359">
        <v>3</v>
      </c>
      <c r="B169" s="210"/>
      <c r="C169" s="359"/>
      <c r="D169" s="18">
        <v>434</v>
      </c>
      <c r="E169" s="18" t="s">
        <v>360</v>
      </c>
      <c r="F169" s="94">
        <f>(F162+F163+F164+F165+F167+F168+F166)*0.07*0.95</f>
        <v>0</v>
      </c>
      <c r="H169" s="18">
        <v>434</v>
      </c>
      <c r="I169" s="18" t="s">
        <v>360</v>
      </c>
      <c r="J169" s="94">
        <f>(J162+J163+J164+J165+J167+J168+J166)*0.07*0.95</f>
        <v>0</v>
      </c>
      <c r="L169" s="18">
        <v>434</v>
      </c>
      <c r="M169" s="18" t="s">
        <v>360</v>
      </c>
      <c r="N169" s="94">
        <f>(N162+N163+N164+N165+N167+N168+N166)*0.07*0.95</f>
        <v>0</v>
      </c>
      <c r="O169" s="359"/>
    </row>
    <row r="170" spans="1:15" ht="12.75" hidden="1">
      <c r="A170" s="359">
        <v>3</v>
      </c>
      <c r="B170" s="210"/>
      <c r="C170" s="359"/>
      <c r="D170" s="18"/>
      <c r="E170" s="96"/>
      <c r="F170" s="190"/>
      <c r="H170" s="18"/>
      <c r="I170" s="96"/>
      <c r="J170" s="190"/>
      <c r="L170" s="18"/>
      <c r="M170" s="96"/>
      <c r="N170" s="190"/>
      <c r="O170" s="359"/>
    </row>
    <row r="171" spans="1:15" ht="13.5" hidden="1" thickBot="1">
      <c r="A171" s="359">
        <v>3</v>
      </c>
      <c r="B171" s="210"/>
      <c r="C171" s="359"/>
      <c r="D171" s="18"/>
      <c r="E171" s="96" t="s">
        <v>381</v>
      </c>
      <c r="F171" s="124">
        <v>0</v>
      </c>
      <c r="H171" s="18"/>
      <c r="I171" s="96" t="s">
        <v>381</v>
      </c>
      <c r="J171" s="124">
        <v>0</v>
      </c>
      <c r="L171" s="18"/>
      <c r="M171" s="96" t="s">
        <v>381</v>
      </c>
      <c r="N171" s="124">
        <v>0</v>
      </c>
      <c r="O171" s="359"/>
    </row>
    <row r="172" spans="1:15" ht="16.5" hidden="1" thickBot="1">
      <c r="A172" s="359">
        <v>3</v>
      </c>
      <c r="B172" s="210"/>
      <c r="C172" s="359"/>
      <c r="D172" s="97"/>
      <c r="E172" s="98" t="s">
        <v>21</v>
      </c>
      <c r="F172" s="99">
        <f>SUM(F162:F171)</f>
        <v>0</v>
      </c>
      <c r="H172" s="97"/>
      <c r="I172" s="98" t="s">
        <v>21</v>
      </c>
      <c r="J172" s="99">
        <f>SUM(J162:J171)</f>
        <v>0</v>
      </c>
      <c r="L172" s="97"/>
      <c r="M172" s="98" t="s">
        <v>21</v>
      </c>
      <c r="N172" s="99">
        <f>SUM(N162:N171)</f>
        <v>0</v>
      </c>
      <c r="O172" s="359"/>
    </row>
    <row r="173" spans="1:15" ht="12.75" hidden="1">
      <c r="A173" s="359">
        <v>3</v>
      </c>
      <c r="B173" s="210"/>
      <c r="C173" s="359"/>
      <c r="D173" s="18">
        <v>703</v>
      </c>
      <c r="E173" s="100" t="s">
        <v>363</v>
      </c>
      <c r="F173" s="101">
        <f>(F172-F171)*0.0025</f>
        <v>0</v>
      </c>
      <c r="H173" s="18">
        <v>703</v>
      </c>
      <c r="I173" s="100" t="s">
        <v>363</v>
      </c>
      <c r="J173" s="101">
        <f>(J172-J171)*0.0025</f>
        <v>0</v>
      </c>
      <c r="L173" s="18">
        <v>703</v>
      </c>
      <c r="M173" s="100" t="s">
        <v>363</v>
      </c>
      <c r="N173" s="101">
        <f>(N172-N171)*0.0025</f>
        <v>0</v>
      </c>
      <c r="O173" s="359"/>
    </row>
    <row r="174" spans="1:15" ht="12.75" hidden="1">
      <c r="A174" s="359">
        <v>3</v>
      </c>
      <c r="B174" s="210"/>
      <c r="C174" s="359"/>
      <c r="D174" s="19">
        <v>707</v>
      </c>
      <c r="E174" s="102" t="s">
        <v>23</v>
      </c>
      <c r="F174" s="17">
        <f>(F172-F171)*0.03</f>
        <v>0</v>
      </c>
      <c r="H174" s="19">
        <v>707</v>
      </c>
      <c r="I174" s="102" t="s">
        <v>23</v>
      </c>
      <c r="J174" s="17">
        <f>(J172-J171)*0.03</f>
        <v>0</v>
      </c>
      <c r="L174" s="19">
        <v>707</v>
      </c>
      <c r="M174" s="102" t="s">
        <v>23</v>
      </c>
      <c r="N174" s="17">
        <f>(N172-N171)*0.03</f>
        <v>0</v>
      </c>
      <c r="O174" s="359"/>
    </row>
    <row r="175" spans="1:15" ht="12.75" hidden="1">
      <c r="A175" s="359">
        <v>3</v>
      </c>
      <c r="B175" s="210"/>
      <c r="C175" s="359"/>
      <c r="D175" s="19">
        <v>709</v>
      </c>
      <c r="E175" s="102" t="s">
        <v>24</v>
      </c>
      <c r="F175" s="17">
        <f>(F172-F171)*0.0213</f>
        <v>0</v>
      </c>
      <c r="H175" s="19">
        <v>709</v>
      </c>
      <c r="I175" s="102" t="s">
        <v>24</v>
      </c>
      <c r="J175" s="17">
        <f>(J172-J171)*0.0213</f>
        <v>0</v>
      </c>
      <c r="L175" s="19">
        <v>709</v>
      </c>
      <c r="M175" s="102" t="s">
        <v>24</v>
      </c>
      <c r="N175" s="17">
        <f>(N172-N171)*0.0213</f>
        <v>0</v>
      </c>
      <c r="O175" s="359"/>
    </row>
    <row r="176" spans="1:15" ht="12.75" hidden="1">
      <c r="A176" s="359">
        <v>3</v>
      </c>
      <c r="B176" s="210"/>
      <c r="C176" s="359"/>
      <c r="D176" s="16">
        <v>710</v>
      </c>
      <c r="E176" s="102" t="s">
        <v>25</v>
      </c>
      <c r="F176" s="17">
        <f>(F172-F171)*0.00754</f>
        <v>0</v>
      </c>
      <c r="H176" s="16">
        <v>710</v>
      </c>
      <c r="I176" s="102" t="s">
        <v>25</v>
      </c>
      <c r="J176" s="17">
        <f>(J172-J171)*0.00754</f>
        <v>0</v>
      </c>
      <c r="L176" s="16">
        <v>710</v>
      </c>
      <c r="M176" s="102" t="s">
        <v>25</v>
      </c>
      <c r="N176" s="17">
        <f>(N172-N171)*0.00754</f>
        <v>0</v>
      </c>
      <c r="O176" s="359"/>
    </row>
    <row r="177" spans="1:15" ht="12.75" hidden="1">
      <c r="A177" s="359">
        <v>3</v>
      </c>
      <c r="B177" s="210"/>
      <c r="C177" s="359"/>
      <c r="D177" s="16">
        <v>713</v>
      </c>
      <c r="E177" s="102" t="s">
        <v>26</v>
      </c>
      <c r="F177" s="17">
        <f>(F172-F171)*0.007</f>
        <v>0</v>
      </c>
      <c r="H177" s="16">
        <v>713</v>
      </c>
      <c r="I177" s="102" t="s">
        <v>26</v>
      </c>
      <c r="J177" s="17">
        <f>(J172-J171)*0.007</f>
        <v>0</v>
      </c>
      <c r="L177" s="16">
        <v>713</v>
      </c>
      <c r="M177" s="102" t="s">
        <v>26</v>
      </c>
      <c r="N177" s="17">
        <f>(N172-N171)*0.007</f>
        <v>0</v>
      </c>
      <c r="O177" s="359"/>
    </row>
    <row r="178" spans="1:15" ht="13.5" hidden="1" thickBot="1">
      <c r="A178" s="359">
        <v>3</v>
      </c>
      <c r="B178" s="210"/>
      <c r="C178" s="359"/>
      <c r="D178" s="16"/>
      <c r="E178" s="103" t="s">
        <v>27</v>
      </c>
      <c r="F178" s="49">
        <v>0</v>
      </c>
      <c r="H178" s="16"/>
      <c r="I178" s="103" t="s">
        <v>27</v>
      </c>
      <c r="J178" s="49">
        <v>0</v>
      </c>
      <c r="L178" s="16"/>
      <c r="M178" s="103" t="s">
        <v>27</v>
      </c>
      <c r="N178" s="49">
        <v>0</v>
      </c>
      <c r="O178" s="359"/>
    </row>
    <row r="179" spans="1:15" ht="16.5" hidden="1" thickBot="1">
      <c r="A179" s="359">
        <v>3</v>
      </c>
      <c r="B179" s="210"/>
      <c r="C179" s="359"/>
      <c r="D179" s="104"/>
      <c r="E179" s="98" t="s">
        <v>28</v>
      </c>
      <c r="F179" s="99">
        <f>SUM(F173:F178)</f>
        <v>0</v>
      </c>
      <c r="H179" s="104"/>
      <c r="I179" s="98" t="s">
        <v>28</v>
      </c>
      <c r="J179" s="99">
        <f>SUM(J173:J178)</f>
        <v>0</v>
      </c>
      <c r="L179" s="104"/>
      <c r="M179" s="98" t="s">
        <v>28</v>
      </c>
      <c r="N179" s="99">
        <f>SUM(N173:N178)</f>
        <v>0</v>
      </c>
      <c r="O179" s="359"/>
    </row>
    <row r="180" spans="1:15" ht="13.5" hidden="1" thickBot="1">
      <c r="A180" s="359">
        <v>3</v>
      </c>
      <c r="B180" s="210"/>
      <c r="C180" s="359"/>
      <c r="D180" s="105"/>
      <c r="E180" s="106"/>
      <c r="F180" s="107"/>
      <c r="H180" s="105"/>
      <c r="I180" s="106"/>
      <c r="J180" s="107"/>
      <c r="L180" s="105"/>
      <c r="M180" s="106"/>
      <c r="N180" s="107"/>
      <c r="O180" s="359"/>
    </row>
    <row r="181" spans="1:17" ht="16.5" hidden="1" thickBot="1">
      <c r="A181" s="359">
        <v>3</v>
      </c>
      <c r="B181" s="61"/>
      <c r="C181" s="359"/>
      <c r="D181" s="108"/>
      <c r="E181" s="109" t="s">
        <v>29</v>
      </c>
      <c r="F181" s="110">
        <f>F172-F179</f>
        <v>0</v>
      </c>
      <c r="H181" s="108"/>
      <c r="I181" s="109" t="s">
        <v>29</v>
      </c>
      <c r="J181" s="110">
        <f>J172-J179</f>
        <v>0</v>
      </c>
      <c r="L181" s="108"/>
      <c r="M181" s="109" t="s">
        <v>29</v>
      </c>
      <c r="N181" s="110">
        <f>N172-N179</f>
        <v>0</v>
      </c>
      <c r="O181" s="359"/>
      <c r="P181" s="359"/>
      <c r="Q181" s="359"/>
    </row>
    <row r="182" spans="1:17" s="321" customFormat="1" ht="15.75" hidden="1">
      <c r="A182" s="359">
        <v>3</v>
      </c>
      <c r="B182" s="210"/>
      <c r="C182" s="362"/>
      <c r="D182" s="12"/>
      <c r="E182" s="77"/>
      <c r="F182" s="325"/>
      <c r="G182" s="12"/>
      <c r="H182" s="12"/>
      <c r="I182" s="77"/>
      <c r="J182" s="325"/>
      <c r="O182" s="368"/>
      <c r="P182" s="368"/>
      <c r="Q182" s="368"/>
    </row>
    <row r="183" spans="1:17" s="321" customFormat="1" ht="15.75" hidden="1">
      <c r="A183" s="359">
        <v>3</v>
      </c>
      <c r="B183" s="210"/>
      <c r="C183" s="362"/>
      <c r="D183" s="77"/>
      <c r="E183" s="12"/>
      <c r="F183" s="326"/>
      <c r="G183" s="12"/>
      <c r="H183" s="77"/>
      <c r="I183" s="259" t="s">
        <v>471</v>
      </c>
      <c r="J183" s="257">
        <f>J181-F181</f>
        <v>0</v>
      </c>
      <c r="K183"/>
      <c r="L183"/>
      <c r="M183" s="259" t="s">
        <v>469</v>
      </c>
      <c r="N183" s="257">
        <f>N181-J181</f>
        <v>0</v>
      </c>
      <c r="O183" s="334" t="s">
        <v>467</v>
      </c>
      <c r="P183" s="335">
        <f>N181-F181</f>
        <v>0</v>
      </c>
      <c r="Q183" s="368"/>
    </row>
    <row r="184" spans="1:17" s="321" customFormat="1" ht="15.75" hidden="1">
      <c r="A184" s="359">
        <v>3</v>
      </c>
      <c r="B184" s="210"/>
      <c r="C184" s="210"/>
      <c r="D184" s="327"/>
      <c r="E184" s="328"/>
      <c r="F184" s="329"/>
      <c r="G184" s="12"/>
      <c r="H184" s="327"/>
      <c r="I184" s="259" t="s">
        <v>472</v>
      </c>
      <c r="J184" s="258" t="e">
        <f>J183/F181</f>
        <v>#DIV/0!</v>
      </c>
      <c r="K184"/>
      <c r="L184"/>
      <c r="M184" s="259" t="s">
        <v>470</v>
      </c>
      <c r="N184" s="258" t="e">
        <f>N183/J181</f>
        <v>#DIV/0!</v>
      </c>
      <c r="O184" s="334" t="s">
        <v>468</v>
      </c>
      <c r="P184" s="336" t="e">
        <f>P183/F181</f>
        <v>#DIV/0!</v>
      </c>
      <c r="Q184" s="368"/>
    </row>
    <row r="185" spans="1:17" ht="15.75" hidden="1">
      <c r="A185" s="359">
        <v>3</v>
      </c>
      <c r="B185" s="61"/>
      <c r="C185" s="61"/>
      <c r="D185" s="4"/>
      <c r="E185" s="239"/>
      <c r="F185" s="244"/>
      <c r="G185" s="11"/>
      <c r="H185" s="4"/>
      <c r="I185" s="239"/>
      <c r="J185" s="244"/>
      <c r="Q185" s="359"/>
    </row>
    <row r="186" spans="1:17" ht="15.75" hidden="1">
      <c r="A186" s="359">
        <v>3</v>
      </c>
      <c r="B186" s="61"/>
      <c r="C186" s="61"/>
      <c r="D186" s="363"/>
      <c r="E186" s="364"/>
      <c r="F186" s="365"/>
      <c r="G186" s="61"/>
      <c r="H186" s="363"/>
      <c r="I186" s="364"/>
      <c r="J186" s="365"/>
      <c r="K186" s="359"/>
      <c r="L186" s="359"/>
      <c r="M186" s="359"/>
      <c r="N186" s="359"/>
      <c r="O186" s="359"/>
      <c r="P186" s="359"/>
      <c r="Q186" s="359"/>
    </row>
    <row r="187" spans="1:17" ht="15.75" hidden="1">
      <c r="A187" s="359">
        <v>3</v>
      </c>
      <c r="B187" s="61"/>
      <c r="C187" s="61"/>
      <c r="D187" s="363"/>
      <c r="E187" s="364"/>
      <c r="F187" s="365"/>
      <c r="G187" s="61"/>
      <c r="H187" s="363"/>
      <c r="I187" s="364"/>
      <c r="J187" s="366"/>
      <c r="K187" s="359"/>
      <c r="L187" s="359"/>
      <c r="M187" s="359"/>
      <c r="N187" s="359"/>
      <c r="O187" s="359"/>
      <c r="P187" s="359"/>
      <c r="Q187" s="359"/>
    </row>
    <row r="188" spans="1:17" ht="15.75" hidden="1">
      <c r="A188" s="359">
        <v>3</v>
      </c>
      <c r="B188" s="61"/>
      <c r="C188" s="61"/>
      <c r="D188" s="363"/>
      <c r="E188" s="364"/>
      <c r="F188" s="365"/>
      <c r="G188" s="61"/>
      <c r="H188" s="363"/>
      <c r="I188" s="364"/>
      <c r="J188" s="365"/>
      <c r="K188" s="359"/>
      <c r="L188" s="359"/>
      <c r="M188" s="359"/>
      <c r="N188" s="359"/>
      <c r="O188" s="359"/>
      <c r="P188" s="359"/>
      <c r="Q188" s="359"/>
    </row>
    <row r="189" spans="1:17" ht="15.75">
      <c r="A189" s="359">
        <v>3</v>
      </c>
      <c r="B189" s="61"/>
      <c r="C189" s="363"/>
      <c r="D189" s="369"/>
      <c r="E189" s="370"/>
      <c r="F189" s="61"/>
      <c r="G189" s="363"/>
      <c r="H189" s="371"/>
      <c r="I189" s="372"/>
      <c r="J189" s="372"/>
      <c r="K189" s="372"/>
      <c r="L189" s="372"/>
      <c r="M189" s="61"/>
      <c r="N189" s="361"/>
      <c r="O189" s="210"/>
      <c r="P189" s="76"/>
      <c r="Q189" s="76"/>
    </row>
    <row r="190" ht="12.75" hidden="1"/>
    <row r="191" s="321" customFormat="1" ht="12.75" hidden="1"/>
    <row r="192" spans="1:20" ht="16.5" hidden="1" thickBot="1">
      <c r="A192" s="321">
        <v>4</v>
      </c>
      <c r="F192" t="s">
        <v>435</v>
      </c>
      <c r="G192" s="11" t="s">
        <v>439</v>
      </c>
      <c r="H192" s="11" t="s">
        <v>440</v>
      </c>
      <c r="I192" s="144" t="s">
        <v>441</v>
      </c>
      <c r="J192" s="144" t="s">
        <v>442</v>
      </c>
      <c r="K192" s="144" t="s">
        <v>443</v>
      </c>
      <c r="L192" s="144" t="s">
        <v>444</v>
      </c>
      <c r="M192" s="144" t="s">
        <v>445</v>
      </c>
      <c r="N192" s="144" t="s">
        <v>446</v>
      </c>
      <c r="O192" s="164" t="s">
        <v>447</v>
      </c>
      <c r="P192" s="164">
        <v>1</v>
      </c>
      <c r="Q192" s="164">
        <v>2</v>
      </c>
      <c r="R192" s="164">
        <v>3</v>
      </c>
      <c r="S192" s="164">
        <v>4</v>
      </c>
      <c r="T192" s="164">
        <v>5</v>
      </c>
    </row>
    <row r="193" spans="1:20" ht="16.5" hidden="1" thickBot="1">
      <c r="A193" s="321">
        <v>4</v>
      </c>
      <c r="E193" s="130">
        <v>0</v>
      </c>
      <c r="F193" s="145">
        <f aca="true" t="shared" si="21" ref="F193:F204">IF(puntosproljorvarios4&lt;620,T193,O193)</f>
        <v>80</v>
      </c>
      <c r="G193" s="145">
        <v>80</v>
      </c>
      <c r="H193" s="265">
        <v>80</v>
      </c>
      <c r="I193" s="165">
        <v>0</v>
      </c>
      <c r="J193" s="166">
        <v>0</v>
      </c>
      <c r="K193" s="167">
        <v>0</v>
      </c>
      <c r="L193" s="266">
        <v>0</v>
      </c>
      <c r="M193" s="267">
        <v>80</v>
      </c>
      <c r="N193" s="268">
        <v>80</v>
      </c>
      <c r="O193" s="168">
        <f aca="true" t="shared" si="22" ref="O193:O204">IF(punbasjubvarios4&gt;971,N193,M193)</f>
        <v>80</v>
      </c>
      <c r="P193" s="168">
        <f aca="true" t="shared" si="23" ref="P193:P204">IF(punbasjubvarios4&lt;972,G193,H193)</f>
        <v>80</v>
      </c>
      <c r="Q193" s="168">
        <f aca="true" t="shared" si="24" ref="Q193:Q204">IF(punbasjubvarios4&lt;1170,P193,I193)</f>
        <v>80</v>
      </c>
      <c r="R193" s="168">
        <f aca="true" t="shared" si="25" ref="R193:R204">IF(punbasjubvarios4&lt;1401,Q193,J193)</f>
        <v>80</v>
      </c>
      <c r="S193" s="168">
        <f aca="true" t="shared" si="26" ref="S193:S204">IF(punbasjubvarios4&lt;1943,R193,K193)</f>
        <v>80</v>
      </c>
      <c r="T193" s="168">
        <f aca="true" t="shared" si="27" ref="T193:T204">IF(punbasjubvarios4&lt;=2220,S193,L193)</f>
        <v>80</v>
      </c>
    </row>
    <row r="194" spans="1:20" ht="16.5" hidden="1" thickBot="1">
      <c r="A194" s="321">
        <v>4</v>
      </c>
      <c r="E194" s="131">
        <v>0.1</v>
      </c>
      <c r="F194" s="145">
        <f t="shared" si="21"/>
        <v>90</v>
      </c>
      <c r="G194" s="145">
        <v>90</v>
      </c>
      <c r="H194" s="270">
        <v>90</v>
      </c>
      <c r="I194" s="165">
        <v>0</v>
      </c>
      <c r="J194" s="166">
        <v>0</v>
      </c>
      <c r="K194" s="167">
        <v>0</v>
      </c>
      <c r="L194" s="266">
        <v>0</v>
      </c>
      <c r="M194" s="267">
        <v>90</v>
      </c>
      <c r="N194" s="268">
        <v>90</v>
      </c>
      <c r="O194" s="168">
        <f t="shared" si="22"/>
        <v>90</v>
      </c>
      <c r="P194" s="168">
        <f t="shared" si="23"/>
        <v>90</v>
      </c>
      <c r="Q194" s="168">
        <f t="shared" si="24"/>
        <v>90</v>
      </c>
      <c r="R194" s="168">
        <f t="shared" si="25"/>
        <v>90</v>
      </c>
      <c r="S194" s="168">
        <f t="shared" si="26"/>
        <v>90</v>
      </c>
      <c r="T194" s="168">
        <f t="shared" si="27"/>
        <v>90</v>
      </c>
    </row>
    <row r="195" spans="1:20" ht="16.5" hidden="1" thickBot="1">
      <c r="A195" s="321">
        <v>4</v>
      </c>
      <c r="E195" s="132">
        <v>0.15</v>
      </c>
      <c r="F195" s="145">
        <f t="shared" si="21"/>
        <v>180</v>
      </c>
      <c r="G195" s="145">
        <v>180</v>
      </c>
      <c r="H195" s="270">
        <v>180</v>
      </c>
      <c r="I195" s="169">
        <v>240</v>
      </c>
      <c r="J195" s="170">
        <v>193</v>
      </c>
      <c r="K195" s="171">
        <v>180</v>
      </c>
      <c r="L195" s="266">
        <v>0</v>
      </c>
      <c r="M195" s="267">
        <v>220</v>
      </c>
      <c r="N195" s="268">
        <v>220</v>
      </c>
      <c r="O195" s="168">
        <f t="shared" si="22"/>
        <v>220</v>
      </c>
      <c r="P195" s="168">
        <f t="shared" si="23"/>
        <v>180</v>
      </c>
      <c r="Q195" s="168">
        <f t="shared" si="24"/>
        <v>180</v>
      </c>
      <c r="R195" s="168">
        <f t="shared" si="25"/>
        <v>180</v>
      </c>
      <c r="S195" s="168">
        <f t="shared" si="26"/>
        <v>180</v>
      </c>
      <c r="T195" s="168">
        <f t="shared" si="27"/>
        <v>180</v>
      </c>
    </row>
    <row r="196" spans="1:20" ht="16.5" hidden="1" thickBot="1">
      <c r="A196" s="321">
        <v>4</v>
      </c>
      <c r="E196" s="132">
        <v>0.3</v>
      </c>
      <c r="F196" s="145">
        <f t="shared" si="21"/>
        <v>225</v>
      </c>
      <c r="G196" s="145">
        <v>225</v>
      </c>
      <c r="H196" s="270">
        <v>195</v>
      </c>
      <c r="I196" s="169">
        <v>240</v>
      </c>
      <c r="J196" s="170">
        <v>193</v>
      </c>
      <c r="K196" s="171">
        <v>180</v>
      </c>
      <c r="L196" s="266">
        <v>0</v>
      </c>
      <c r="M196" s="267">
        <v>380</v>
      </c>
      <c r="N196" s="268">
        <v>350</v>
      </c>
      <c r="O196" s="168">
        <f t="shared" si="22"/>
        <v>380</v>
      </c>
      <c r="P196" s="168">
        <f t="shared" si="23"/>
        <v>225</v>
      </c>
      <c r="Q196" s="168">
        <f t="shared" si="24"/>
        <v>225</v>
      </c>
      <c r="R196" s="168">
        <f t="shared" si="25"/>
        <v>225</v>
      </c>
      <c r="S196" s="168">
        <f t="shared" si="26"/>
        <v>225</v>
      </c>
      <c r="T196" s="168">
        <f t="shared" si="27"/>
        <v>225</v>
      </c>
    </row>
    <row r="197" spans="1:20" ht="16.5" hidden="1" thickBot="1">
      <c r="A197" s="321">
        <v>4</v>
      </c>
      <c r="E197" s="132">
        <v>0.4</v>
      </c>
      <c r="F197" s="145">
        <f t="shared" si="21"/>
        <v>250</v>
      </c>
      <c r="G197" s="145">
        <v>250</v>
      </c>
      <c r="H197" s="270">
        <v>210</v>
      </c>
      <c r="I197" s="169">
        <v>250</v>
      </c>
      <c r="J197" s="170">
        <v>200</v>
      </c>
      <c r="K197" s="171">
        <v>180</v>
      </c>
      <c r="L197" s="266">
        <v>140</v>
      </c>
      <c r="M197" s="267">
        <v>440</v>
      </c>
      <c r="N197" s="268">
        <v>400</v>
      </c>
      <c r="O197" s="168">
        <f t="shared" si="22"/>
        <v>440</v>
      </c>
      <c r="P197" s="168">
        <f t="shared" si="23"/>
        <v>250</v>
      </c>
      <c r="Q197" s="168">
        <f t="shared" si="24"/>
        <v>250</v>
      </c>
      <c r="R197" s="168">
        <f t="shared" si="25"/>
        <v>250</v>
      </c>
      <c r="S197" s="168">
        <f t="shared" si="26"/>
        <v>250</v>
      </c>
      <c r="T197" s="168">
        <f t="shared" si="27"/>
        <v>250</v>
      </c>
    </row>
    <row r="198" spans="1:20" ht="16.5" hidden="1" thickBot="1">
      <c r="A198" s="321">
        <v>4</v>
      </c>
      <c r="E198" s="132">
        <v>0.5</v>
      </c>
      <c r="F198" s="145">
        <f t="shared" si="21"/>
        <v>270</v>
      </c>
      <c r="G198" s="145">
        <v>270</v>
      </c>
      <c r="H198" s="270">
        <v>230</v>
      </c>
      <c r="I198" s="169">
        <v>250</v>
      </c>
      <c r="J198" s="148">
        <v>200</v>
      </c>
      <c r="K198" s="171">
        <v>180</v>
      </c>
      <c r="L198" s="266">
        <v>140</v>
      </c>
      <c r="M198" s="267">
        <v>475</v>
      </c>
      <c r="N198" s="268">
        <v>435</v>
      </c>
      <c r="O198" s="168">
        <f t="shared" si="22"/>
        <v>475</v>
      </c>
      <c r="P198" s="168">
        <f t="shared" si="23"/>
        <v>270</v>
      </c>
      <c r="Q198" s="168">
        <f t="shared" si="24"/>
        <v>270</v>
      </c>
      <c r="R198" s="168">
        <f t="shared" si="25"/>
        <v>270</v>
      </c>
      <c r="S198" s="168">
        <f t="shared" si="26"/>
        <v>270</v>
      </c>
      <c r="T198" s="168">
        <f t="shared" si="27"/>
        <v>270</v>
      </c>
    </row>
    <row r="199" spans="1:20" ht="16.5" hidden="1" thickBot="1">
      <c r="A199" s="321">
        <v>4</v>
      </c>
      <c r="E199" s="132">
        <v>0.6</v>
      </c>
      <c r="F199" s="145">
        <f t="shared" si="21"/>
        <v>320</v>
      </c>
      <c r="G199" s="145">
        <v>320</v>
      </c>
      <c r="H199" s="270">
        <v>260</v>
      </c>
      <c r="I199" s="169">
        <v>260</v>
      </c>
      <c r="J199" s="148">
        <v>203</v>
      </c>
      <c r="K199" s="171">
        <v>190</v>
      </c>
      <c r="L199" s="266">
        <v>160</v>
      </c>
      <c r="M199" s="267">
        <v>510</v>
      </c>
      <c r="N199" s="268">
        <v>450</v>
      </c>
      <c r="O199" s="168">
        <f t="shared" si="22"/>
        <v>510</v>
      </c>
      <c r="P199" s="168">
        <f t="shared" si="23"/>
        <v>320</v>
      </c>
      <c r="Q199" s="168">
        <f t="shared" si="24"/>
        <v>320</v>
      </c>
      <c r="R199" s="168">
        <f t="shared" si="25"/>
        <v>320</v>
      </c>
      <c r="S199" s="168">
        <f t="shared" si="26"/>
        <v>320</v>
      </c>
      <c r="T199" s="168">
        <f t="shared" si="27"/>
        <v>320</v>
      </c>
    </row>
    <row r="200" spans="1:20" ht="16.5" hidden="1" thickBot="1">
      <c r="A200" s="321">
        <v>4</v>
      </c>
      <c r="E200" s="132">
        <v>0.7</v>
      </c>
      <c r="F200" s="145">
        <f t="shared" si="21"/>
        <v>345</v>
      </c>
      <c r="G200" s="145">
        <v>345</v>
      </c>
      <c r="H200" s="270">
        <v>285</v>
      </c>
      <c r="I200" s="169">
        <v>365</v>
      </c>
      <c r="J200" s="148">
        <v>230</v>
      </c>
      <c r="K200" s="171">
        <v>190</v>
      </c>
      <c r="L200" s="266">
        <v>160</v>
      </c>
      <c r="M200" s="267">
        <v>525</v>
      </c>
      <c r="N200" s="268">
        <v>465</v>
      </c>
      <c r="O200" s="168">
        <f t="shared" si="22"/>
        <v>525</v>
      </c>
      <c r="P200" s="168">
        <f t="shared" si="23"/>
        <v>345</v>
      </c>
      <c r="Q200" s="168">
        <f t="shared" si="24"/>
        <v>345</v>
      </c>
      <c r="R200" s="168">
        <f t="shared" si="25"/>
        <v>345</v>
      </c>
      <c r="S200" s="168">
        <f t="shared" si="26"/>
        <v>345</v>
      </c>
      <c r="T200" s="168">
        <f t="shared" si="27"/>
        <v>345</v>
      </c>
    </row>
    <row r="201" spans="1:20" ht="16.5" hidden="1" thickBot="1">
      <c r="A201" s="321">
        <v>4</v>
      </c>
      <c r="E201" s="132">
        <v>0.8</v>
      </c>
      <c r="F201" s="145">
        <f t="shared" si="21"/>
        <v>425</v>
      </c>
      <c r="G201" s="145">
        <v>425</v>
      </c>
      <c r="H201" s="270">
        <v>345</v>
      </c>
      <c r="I201" s="147">
        <v>395</v>
      </c>
      <c r="J201" s="148">
        <v>340</v>
      </c>
      <c r="K201" s="172">
        <v>280</v>
      </c>
      <c r="L201" s="272">
        <v>180</v>
      </c>
      <c r="M201" s="267">
        <v>555</v>
      </c>
      <c r="N201" s="268">
        <v>475</v>
      </c>
      <c r="O201" s="168">
        <f t="shared" si="22"/>
        <v>555</v>
      </c>
      <c r="P201" s="168">
        <f t="shared" si="23"/>
        <v>425</v>
      </c>
      <c r="Q201" s="168">
        <f t="shared" si="24"/>
        <v>425</v>
      </c>
      <c r="R201" s="168">
        <f t="shared" si="25"/>
        <v>425</v>
      </c>
      <c r="S201" s="168">
        <f t="shared" si="26"/>
        <v>425</v>
      </c>
      <c r="T201" s="168">
        <f t="shared" si="27"/>
        <v>425</v>
      </c>
    </row>
    <row r="202" spans="1:20" ht="16.5" hidden="1" thickBot="1">
      <c r="A202" s="321">
        <v>4</v>
      </c>
      <c r="E202" s="132">
        <v>1</v>
      </c>
      <c r="F202" s="145">
        <f t="shared" si="21"/>
        <v>535</v>
      </c>
      <c r="G202" s="145">
        <v>535</v>
      </c>
      <c r="H202" s="270">
        <v>435</v>
      </c>
      <c r="I202" s="147">
        <v>410</v>
      </c>
      <c r="J202" s="148">
        <v>330</v>
      </c>
      <c r="K202" s="172">
        <v>310</v>
      </c>
      <c r="L202" s="272">
        <v>180</v>
      </c>
      <c r="M202" s="267">
        <v>590</v>
      </c>
      <c r="N202" s="268">
        <v>490</v>
      </c>
      <c r="O202" s="168">
        <f t="shared" si="22"/>
        <v>590</v>
      </c>
      <c r="P202" s="168">
        <f t="shared" si="23"/>
        <v>535</v>
      </c>
      <c r="Q202" s="168">
        <f t="shared" si="24"/>
        <v>535</v>
      </c>
      <c r="R202" s="168">
        <f t="shared" si="25"/>
        <v>535</v>
      </c>
      <c r="S202" s="168">
        <f t="shared" si="26"/>
        <v>535</v>
      </c>
      <c r="T202" s="168">
        <f t="shared" si="27"/>
        <v>535</v>
      </c>
    </row>
    <row r="203" spans="1:20" ht="16.5" hidden="1" thickBot="1">
      <c r="A203" s="321">
        <v>4</v>
      </c>
      <c r="E203" s="132">
        <v>1.1</v>
      </c>
      <c r="F203" s="145">
        <f t="shared" si="21"/>
        <v>605</v>
      </c>
      <c r="G203" s="145">
        <v>605</v>
      </c>
      <c r="H203" s="270">
        <v>495</v>
      </c>
      <c r="I203" s="147">
        <v>430</v>
      </c>
      <c r="J203" s="148">
        <v>330</v>
      </c>
      <c r="K203" s="172">
        <v>320</v>
      </c>
      <c r="L203" s="272">
        <v>190</v>
      </c>
      <c r="M203" s="267">
        <v>615</v>
      </c>
      <c r="N203" s="268">
        <v>505</v>
      </c>
      <c r="O203" s="168">
        <f t="shared" si="22"/>
        <v>615</v>
      </c>
      <c r="P203" s="168">
        <f t="shared" si="23"/>
        <v>605</v>
      </c>
      <c r="Q203" s="168">
        <f t="shared" si="24"/>
        <v>605</v>
      </c>
      <c r="R203" s="168">
        <f t="shared" si="25"/>
        <v>605</v>
      </c>
      <c r="S203" s="168">
        <f t="shared" si="26"/>
        <v>605</v>
      </c>
      <c r="T203" s="168">
        <f t="shared" si="27"/>
        <v>605</v>
      </c>
    </row>
    <row r="204" spans="1:20" ht="16.5" hidden="1" thickBot="1">
      <c r="A204" s="321">
        <v>4</v>
      </c>
      <c r="E204" s="133">
        <v>1.2</v>
      </c>
      <c r="F204" s="145">
        <f t="shared" si="21"/>
        <v>620</v>
      </c>
      <c r="G204" s="145">
        <v>620</v>
      </c>
      <c r="H204" s="270">
        <v>510</v>
      </c>
      <c r="I204" s="147">
        <v>480</v>
      </c>
      <c r="J204" s="148">
        <v>335</v>
      </c>
      <c r="K204" s="172">
        <v>330</v>
      </c>
      <c r="L204" s="272">
        <v>190</v>
      </c>
      <c r="M204" s="267">
        <v>620</v>
      </c>
      <c r="N204" s="268">
        <v>510</v>
      </c>
      <c r="O204" s="168">
        <f t="shared" si="22"/>
        <v>620</v>
      </c>
      <c r="P204" s="168">
        <f t="shared" si="23"/>
        <v>620</v>
      </c>
      <c r="Q204" s="168">
        <f t="shared" si="24"/>
        <v>620</v>
      </c>
      <c r="R204" s="168">
        <f t="shared" si="25"/>
        <v>620</v>
      </c>
      <c r="S204" s="168">
        <f t="shared" si="26"/>
        <v>620</v>
      </c>
      <c r="T204" s="168">
        <f t="shared" si="27"/>
        <v>620</v>
      </c>
    </row>
    <row r="205" spans="1:20" s="315" customFormat="1" ht="15.75" hidden="1">
      <c r="A205" s="321">
        <v>4</v>
      </c>
      <c r="E205" s="316"/>
      <c r="F205" s="181"/>
      <c r="G205" s="181"/>
      <c r="H205" s="317"/>
      <c r="I205" s="318"/>
      <c r="J205" s="318"/>
      <c r="K205" s="181"/>
      <c r="L205" s="12"/>
      <c r="M205" s="146"/>
      <c r="N205" s="146"/>
      <c r="O205" s="146"/>
      <c r="P205" s="146"/>
      <c r="Q205" s="146"/>
      <c r="R205" s="146"/>
      <c r="S205" s="146"/>
      <c r="T205" s="146"/>
    </row>
    <row r="206" spans="1:20" s="315" customFormat="1" ht="15.75" hidden="1">
      <c r="A206" s="321">
        <v>4</v>
      </c>
      <c r="E206" s="316"/>
      <c r="F206" s="181" t="s">
        <v>466</v>
      </c>
      <c r="G206" s="181">
        <f>LOOKUP(F222,porantvar4,cod06cargosvar4)</f>
        <v>620</v>
      </c>
      <c r="H206" s="317"/>
      <c r="I206" s="318"/>
      <c r="J206" s="318"/>
      <c r="K206" s="181"/>
      <c r="L206" s="12"/>
      <c r="M206" s="146"/>
      <c r="N206" s="146"/>
      <c r="O206" s="146"/>
      <c r="P206" s="146"/>
      <c r="Q206" s="146"/>
      <c r="R206" s="146"/>
      <c r="S206" s="146"/>
      <c r="T206" s="146"/>
    </row>
    <row r="207" s="321" customFormat="1" ht="12.75" hidden="1">
      <c r="A207" s="321">
        <v>4</v>
      </c>
    </row>
    <row r="208" ht="12.75" hidden="1">
      <c r="A208" s="321">
        <v>4</v>
      </c>
    </row>
    <row r="209" spans="1:15" ht="12.75">
      <c r="A209" s="374">
        <v>4</v>
      </c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</row>
    <row r="210" spans="1:17" ht="20.25">
      <c r="A210" s="374">
        <v>4</v>
      </c>
      <c r="B210" s="215"/>
      <c r="C210" s="216"/>
      <c r="D210" s="216"/>
      <c r="E210" s="84" t="s">
        <v>430</v>
      </c>
      <c r="F210" s="11"/>
      <c r="G210" s="11"/>
      <c r="H210" s="216"/>
      <c r="I210" s="216"/>
      <c r="J210" s="216"/>
      <c r="K210" s="216"/>
      <c r="L210" s="216"/>
      <c r="M210" s="216"/>
      <c r="N210" s="214"/>
      <c r="O210" s="386"/>
      <c r="P210" s="181"/>
      <c r="Q210" s="181"/>
    </row>
    <row r="211" spans="1:17" ht="12.75">
      <c r="A211" s="374">
        <v>4</v>
      </c>
      <c r="B211" s="215"/>
      <c r="C211" s="215"/>
      <c r="D211" s="215"/>
      <c r="E211" s="215"/>
      <c r="F211" s="215"/>
      <c r="G211" s="215"/>
      <c r="H211" s="377"/>
      <c r="I211" s="215"/>
      <c r="J211" s="215"/>
      <c r="K211" s="215"/>
      <c r="L211" s="215"/>
      <c r="M211" s="215"/>
      <c r="N211" s="214"/>
      <c r="O211" s="386"/>
      <c r="P211" s="181"/>
      <c r="Q211" s="181"/>
    </row>
    <row r="212" spans="1:17" ht="12.75">
      <c r="A212" s="374">
        <v>4</v>
      </c>
      <c r="B212" s="375"/>
      <c r="C212" s="375"/>
      <c r="D212" s="45" t="s">
        <v>52</v>
      </c>
      <c r="E212" s="45" t="s">
        <v>356</v>
      </c>
      <c r="F212" s="45" t="s">
        <v>357</v>
      </c>
      <c r="G212" s="45" t="s">
        <v>358</v>
      </c>
      <c r="H212" s="45" t="s">
        <v>359</v>
      </c>
      <c r="I212" s="105" t="s">
        <v>452</v>
      </c>
      <c r="J212" s="215"/>
      <c r="K212" s="215"/>
      <c r="L212" s="215"/>
      <c r="M212" s="215"/>
      <c r="N212" s="214"/>
      <c r="O212" s="386"/>
      <c r="P212" s="181"/>
      <c r="Q212" s="181"/>
    </row>
    <row r="213" spans="1:17" ht="16.5" thickBot="1">
      <c r="A213" s="374">
        <v>4</v>
      </c>
      <c r="B213" s="375"/>
      <c r="C213" s="375"/>
      <c r="D213" s="123">
        <v>749</v>
      </c>
      <c r="E213" s="85">
        <f>LOOKUP(D213,[0]!numerocargo,[0]!puntosbasicoscargo)</f>
        <v>971</v>
      </c>
      <c r="F213" s="85">
        <f>LOOKUP(D213,[0]!numerocargo,[0]!tardifcargo)</f>
        <v>0</v>
      </c>
      <c r="G213" s="85">
        <f>LOOKUP(D213,[0]!numerocargo,[0]!proljorcargo)</f>
        <v>0</v>
      </c>
      <c r="H213" s="85">
        <f>LOOKUP(D213,[0]!numerocargo,[0]!jorcomcargo)</f>
        <v>0</v>
      </c>
      <c r="I213" s="45">
        <f>LOOKUP(D213,Cargos!A3:A314,puntoscompbasico)</f>
        <v>170</v>
      </c>
      <c r="J213" s="215"/>
      <c r="K213" s="215"/>
      <c r="L213" s="215"/>
      <c r="M213" s="215"/>
      <c r="N213" s="214"/>
      <c r="O213" s="386"/>
      <c r="P213" s="181"/>
      <c r="Q213" s="181"/>
    </row>
    <row r="214" spans="1:17" ht="13.5" thickBot="1">
      <c r="A214" s="374">
        <v>4</v>
      </c>
      <c r="B214" s="375"/>
      <c r="C214" s="375"/>
      <c r="D214" s="86" t="s">
        <v>53</v>
      </c>
      <c r="E214" s="87" t="str">
        <f>LOOKUP(D213,[0]!numerocargo,[0]!nombrecargo)</f>
        <v> MAESTRO DE GRADO</v>
      </c>
      <c r="F214" s="43"/>
      <c r="G214" s="43"/>
      <c r="H214" s="64"/>
      <c r="I214" s="12"/>
      <c r="J214" s="215"/>
      <c r="K214" s="215"/>
      <c r="L214" s="215"/>
      <c r="M214" s="215"/>
      <c r="N214" s="214"/>
      <c r="O214" s="386"/>
      <c r="P214" s="181"/>
      <c r="Q214" s="181"/>
    </row>
    <row r="215" spans="1:17" ht="13.5" hidden="1" thickBot="1">
      <c r="A215" s="374">
        <v>4</v>
      </c>
      <c r="B215" s="375"/>
      <c r="C215" s="375"/>
      <c r="D215" s="182"/>
      <c r="E215" s="10"/>
      <c r="F215" s="2"/>
      <c r="G215" s="2"/>
      <c r="H215" s="2"/>
      <c r="I215" s="139" t="s">
        <v>384</v>
      </c>
      <c r="J215" s="387"/>
      <c r="K215" s="387"/>
      <c r="L215" s="387"/>
      <c r="M215" s="215"/>
      <c r="N215" s="215"/>
      <c r="O215" s="215"/>
      <c r="P215" s="11"/>
      <c r="Q215" s="11"/>
    </row>
    <row r="216" spans="1:17" ht="19.5" thickBot="1" thickTop="1">
      <c r="A216" s="374">
        <v>4</v>
      </c>
      <c r="B216" s="375"/>
      <c r="C216" s="375"/>
      <c r="D216" s="183" t="s">
        <v>373</v>
      </c>
      <c r="E216" s="129"/>
      <c r="F216" s="129"/>
      <c r="G216" s="129"/>
      <c r="H216" s="184">
        <v>0</v>
      </c>
      <c r="I216" s="140">
        <f>H216/120</f>
        <v>0</v>
      </c>
      <c r="J216" s="377"/>
      <c r="K216" s="377"/>
      <c r="L216" s="377"/>
      <c r="M216" s="215"/>
      <c r="N216" s="215"/>
      <c r="O216" s="215"/>
      <c r="P216" s="11"/>
      <c r="Q216" s="11"/>
    </row>
    <row r="217" spans="1:17" ht="17.25" hidden="1" thickBot="1" thickTop="1">
      <c r="A217" s="374">
        <v>4</v>
      </c>
      <c r="B217" s="376"/>
      <c r="C217" s="377"/>
      <c r="D217" s="2"/>
      <c r="E217" s="2"/>
      <c r="F217" s="185"/>
      <c r="G217" s="12"/>
      <c r="H217" s="10"/>
      <c r="I217" s="12"/>
      <c r="J217" s="215"/>
      <c r="K217" s="215"/>
      <c r="L217" s="215"/>
      <c r="M217" s="215"/>
      <c r="N217" s="215"/>
      <c r="O217" s="215"/>
      <c r="P217" s="11"/>
      <c r="Q217" s="11"/>
    </row>
    <row r="218" spans="1:17" ht="17.25" thickBot="1" thickTop="1">
      <c r="A218" s="374">
        <v>4</v>
      </c>
      <c r="B218" s="376"/>
      <c r="C218" s="375"/>
      <c r="D218" s="127" t="s">
        <v>386</v>
      </c>
      <c r="E218" s="143">
        <v>0</v>
      </c>
      <c r="F218" s="185"/>
      <c r="G218" s="12"/>
      <c r="H218" s="10"/>
      <c r="I218" s="12"/>
      <c r="J218" s="215"/>
      <c r="K218" s="215"/>
      <c r="L218" s="215"/>
      <c r="M218" s="215"/>
      <c r="N218" s="215"/>
      <c r="O218" s="215"/>
      <c r="P218" s="11"/>
      <c r="Q218" s="11"/>
    </row>
    <row r="219" spans="1:17" ht="13.5" hidden="1" thickTop="1">
      <c r="A219" s="374">
        <v>4</v>
      </c>
      <c r="B219" s="376"/>
      <c r="C219" s="377"/>
      <c r="D219" s="2"/>
      <c r="E219" s="2"/>
      <c r="F219" s="2"/>
      <c r="G219" s="12"/>
      <c r="H219" s="10"/>
      <c r="I219" s="12"/>
      <c r="J219" s="215"/>
      <c r="K219" s="215"/>
      <c r="L219" s="215"/>
      <c r="M219" s="215"/>
      <c r="N219" s="215"/>
      <c r="O219" s="215"/>
      <c r="P219" s="11"/>
      <c r="Q219" s="11"/>
    </row>
    <row r="220" spans="1:17" ht="13.5" hidden="1" thickBot="1">
      <c r="A220" s="374">
        <v>4</v>
      </c>
      <c r="B220" s="215"/>
      <c r="C220" s="216"/>
      <c r="D220" s="11"/>
      <c r="E220" s="11"/>
      <c r="F220" s="11"/>
      <c r="G220" s="11"/>
      <c r="H220" s="11"/>
      <c r="I220" s="11"/>
      <c r="J220" s="216"/>
      <c r="K220" s="216"/>
      <c r="L220" s="216"/>
      <c r="M220" s="216"/>
      <c r="N220" s="216"/>
      <c r="O220" s="216"/>
      <c r="P220" s="11"/>
      <c r="Q220" s="11"/>
    </row>
    <row r="221" spans="1:17" ht="17.25" thickBot="1" thickTop="1">
      <c r="A221" s="374">
        <v>4</v>
      </c>
      <c r="B221" s="215"/>
      <c r="C221" s="216"/>
      <c r="D221" s="88" t="s">
        <v>14</v>
      </c>
      <c r="E221" s="43"/>
      <c r="F221" s="89">
        <f>E213*indicesep07</f>
        <v>480.645</v>
      </c>
      <c r="G221" s="11"/>
      <c r="H221" s="11"/>
      <c r="I221" s="216"/>
      <c r="J221" s="216"/>
      <c r="K221" s="216"/>
      <c r="L221" s="216"/>
      <c r="M221" s="217"/>
      <c r="N221" s="217"/>
      <c r="O221" s="216"/>
      <c r="P221" s="11"/>
      <c r="Q221" s="11"/>
    </row>
    <row r="222" spans="1:17" ht="16.5" thickBot="1">
      <c r="A222" s="374">
        <v>4</v>
      </c>
      <c r="B222" s="215"/>
      <c r="C222" s="216"/>
      <c r="D222" s="88" t="s">
        <v>15</v>
      </c>
      <c r="E222" s="43"/>
      <c r="F222" s="126">
        <v>1.2</v>
      </c>
      <c r="G222" s="11" t="s">
        <v>16</v>
      </c>
      <c r="H222" s="11"/>
      <c r="I222" s="216"/>
      <c r="J222" s="216"/>
      <c r="K222" s="216"/>
      <c r="L222" s="216"/>
      <c r="M222" s="216"/>
      <c r="N222" s="217"/>
      <c r="O222" s="216"/>
      <c r="P222" s="11"/>
      <c r="Q222" s="11"/>
    </row>
    <row r="223" spans="1:17" ht="15.75">
      <c r="A223" s="374">
        <v>4</v>
      </c>
      <c r="B223" s="215"/>
      <c r="C223" s="216"/>
      <c r="D223" s="215"/>
      <c r="E223" s="215"/>
      <c r="F223" s="218"/>
      <c r="G223" s="216"/>
      <c r="H223" s="216"/>
      <c r="I223" s="216"/>
      <c r="J223" s="216"/>
      <c r="K223" s="216"/>
      <c r="L223" s="216"/>
      <c r="M223" s="216"/>
      <c r="N223" s="219"/>
      <c r="O223" s="216"/>
      <c r="P223" s="11"/>
      <c r="Q223" s="11"/>
    </row>
    <row r="224" spans="1:17" ht="18.75" thickBot="1">
      <c r="A224" s="374">
        <v>4</v>
      </c>
      <c r="B224" s="215"/>
      <c r="C224" s="216"/>
      <c r="D224" s="91" t="s">
        <v>17</v>
      </c>
      <c r="E224" s="91"/>
      <c r="F224" s="92">
        <f>E213</f>
        <v>971</v>
      </c>
      <c r="G224" s="11" t="s">
        <v>18</v>
      </c>
      <c r="H224" s="11"/>
      <c r="I224" s="90">
        <f>H213+G213</f>
        <v>0</v>
      </c>
      <c r="J224" s="217"/>
      <c r="K224" s="217"/>
      <c r="L224" s="217"/>
      <c r="M224" s="215"/>
      <c r="N224" s="216"/>
      <c r="O224" s="216"/>
      <c r="P224" s="11"/>
      <c r="Q224" s="11"/>
    </row>
    <row r="225" spans="1:17" ht="15.75">
      <c r="A225" s="374">
        <v>4</v>
      </c>
      <c r="B225" s="215"/>
      <c r="C225" s="216"/>
      <c r="D225" s="2"/>
      <c r="E225" s="2"/>
      <c r="F225" s="189"/>
      <c r="G225" s="11"/>
      <c r="H225" s="11"/>
      <c r="I225" s="2"/>
      <c r="J225" s="2"/>
      <c r="K225" s="2"/>
      <c r="L225" s="2"/>
      <c r="M225" s="93"/>
      <c r="N225" s="11"/>
      <c r="O225" s="216"/>
      <c r="P225" s="11"/>
      <c r="Q225" s="11"/>
    </row>
    <row r="226" spans="1:15" ht="15.75">
      <c r="A226" s="374">
        <v>4</v>
      </c>
      <c r="B226" s="215"/>
      <c r="C226" s="216"/>
      <c r="D226" s="11"/>
      <c r="E226" s="173" t="s">
        <v>455</v>
      </c>
      <c r="F226" s="11"/>
      <c r="G226" s="216"/>
      <c r="H226" s="11"/>
      <c r="I226" s="173" t="s">
        <v>461</v>
      </c>
      <c r="J226" s="11"/>
      <c r="L226" s="11"/>
      <c r="M226" s="173" t="s">
        <v>473</v>
      </c>
      <c r="N226" s="11"/>
      <c r="O226" s="375"/>
    </row>
    <row r="227" spans="1:15" ht="12.75">
      <c r="A227" s="374">
        <v>4</v>
      </c>
      <c r="B227" s="215"/>
      <c r="C227" s="375"/>
      <c r="D227" s="18">
        <v>400</v>
      </c>
      <c r="E227" s="18" t="s">
        <v>19</v>
      </c>
      <c r="F227" s="94">
        <f>punbasjubvarios4*indicesep07*0.82*frac4</f>
        <v>0</v>
      </c>
      <c r="G227" s="375"/>
      <c r="H227" s="18">
        <v>400</v>
      </c>
      <c r="I227" s="18" t="s">
        <v>19</v>
      </c>
      <c r="J227" s="94">
        <f>punbasjubvarios4*indicemar08*0.82*frac4</f>
        <v>0</v>
      </c>
      <c r="K227" s="375"/>
      <c r="L227" s="18">
        <v>400</v>
      </c>
      <c r="M227" s="18" t="s">
        <v>19</v>
      </c>
      <c r="N227" s="94">
        <f>punbasjubvarios4*indicejul08*0.82*frac4</f>
        <v>0</v>
      </c>
      <c r="O227" s="375"/>
    </row>
    <row r="228" spans="1:15" ht="12.75">
      <c r="A228" s="374">
        <v>4</v>
      </c>
      <c r="B228" s="215"/>
      <c r="C228" s="375"/>
      <c r="D228" s="18" t="s">
        <v>463</v>
      </c>
      <c r="E228" s="18" t="s">
        <v>454</v>
      </c>
      <c r="F228" s="296">
        <v>0</v>
      </c>
      <c r="G228" s="375"/>
      <c r="H228" s="18" t="s">
        <v>463</v>
      </c>
      <c r="I228" s="18" t="s">
        <v>454</v>
      </c>
      <c r="J228" s="296">
        <f>compbasicovarios4*indicemar08*0.82*frac4</f>
        <v>0</v>
      </c>
      <c r="K228" s="375"/>
      <c r="L228" s="18" t="s">
        <v>463</v>
      </c>
      <c r="M228" s="18" t="s">
        <v>454</v>
      </c>
      <c r="N228" s="296">
        <f>compbasicovarios4*indicejul08*0.82*frac4</f>
        <v>0</v>
      </c>
      <c r="O228" s="375"/>
    </row>
    <row r="229" spans="1:14" ht="12.75" hidden="1">
      <c r="A229" s="374">
        <v>4</v>
      </c>
      <c r="B229" s="215"/>
      <c r="C229" s="375"/>
      <c r="D229" s="18">
        <v>404</v>
      </c>
      <c r="E229" s="18" t="s">
        <v>361</v>
      </c>
      <c r="F229" s="94">
        <f>F213*indicesep07*0.82*frac4</f>
        <v>0</v>
      </c>
      <c r="H229" s="18">
        <v>404</v>
      </c>
      <c r="I229" s="18" t="s">
        <v>361</v>
      </c>
      <c r="J229" s="94">
        <f>F213*indicemar08*0.82*frac4</f>
        <v>0</v>
      </c>
      <c r="L229" s="18">
        <v>404</v>
      </c>
      <c r="M229" s="18" t="s">
        <v>361</v>
      </c>
      <c r="N229" s="94">
        <f>F213*indicejul08*0.82*frac4</f>
        <v>0</v>
      </c>
    </row>
    <row r="230" spans="1:14" ht="12.75" hidden="1">
      <c r="A230" s="374">
        <v>4</v>
      </c>
      <c r="B230" s="215"/>
      <c r="C230" s="375"/>
      <c r="D230" s="18">
        <v>406</v>
      </c>
      <c r="E230" s="18" t="s">
        <v>20</v>
      </c>
      <c r="F230" s="94">
        <f>(F227+F228+F229+F232)*F222</f>
        <v>0</v>
      </c>
      <c r="H230" s="18">
        <v>406</v>
      </c>
      <c r="I230" s="18" t="s">
        <v>20</v>
      </c>
      <c r="J230" s="94">
        <f>(J227+J228+J229+J232)*F222</f>
        <v>0</v>
      </c>
      <c r="L230" s="18">
        <v>406</v>
      </c>
      <c r="M230" s="18" t="s">
        <v>20</v>
      </c>
      <c r="N230" s="94">
        <f>(N227+N228+N229+N232)*F222</f>
        <v>0</v>
      </c>
    </row>
    <row r="231" spans="1:14" ht="12.75" hidden="1">
      <c r="A231" s="374">
        <v>4</v>
      </c>
      <c r="B231" s="215"/>
      <c r="C231" s="375"/>
      <c r="D231" s="18">
        <v>408</v>
      </c>
      <c r="E231" s="18" t="s">
        <v>385</v>
      </c>
      <c r="F231" s="94">
        <f>(F227+F232+F228+F229)*E218</f>
        <v>0</v>
      </c>
      <c r="H231" s="18">
        <v>408</v>
      </c>
      <c r="I231" s="18" t="s">
        <v>385</v>
      </c>
      <c r="J231" s="94">
        <f>(J227+J228+J229+J232)*E218</f>
        <v>0</v>
      </c>
      <c r="L231" s="18">
        <v>408</v>
      </c>
      <c r="M231" s="18" t="s">
        <v>385</v>
      </c>
      <c r="N231" s="94">
        <f>(N227+N228+N229+N232)*E218</f>
        <v>0</v>
      </c>
    </row>
    <row r="232" spans="1:14" ht="12.75" hidden="1">
      <c r="A232" s="374">
        <v>4</v>
      </c>
      <c r="B232" s="215"/>
      <c r="C232" s="375"/>
      <c r="D232" s="18">
        <v>416</v>
      </c>
      <c r="E232" s="95" t="s">
        <v>362</v>
      </c>
      <c r="F232" s="94">
        <f>puntosproljorvarios4*proljorsep07*0.82*frac4</f>
        <v>0</v>
      </c>
      <c r="H232" s="18">
        <v>416</v>
      </c>
      <c r="I232" s="102" t="s">
        <v>362</v>
      </c>
      <c r="J232" s="94">
        <f>puntosproljorvarios4*proljormar08*0.82*frac4</f>
        <v>0</v>
      </c>
      <c r="L232" s="18">
        <v>416</v>
      </c>
      <c r="M232" s="102" t="s">
        <v>362</v>
      </c>
      <c r="N232" s="94">
        <f>puntosproljorvarios4*proljorjul08*0.82*frac4</f>
        <v>0</v>
      </c>
    </row>
    <row r="233" spans="1:14" ht="12.75" hidden="1">
      <c r="A233" s="374">
        <v>4</v>
      </c>
      <c r="B233" s="215"/>
      <c r="C233" s="375"/>
      <c r="D233" s="18">
        <v>432</v>
      </c>
      <c r="E233" s="18" t="s">
        <v>383</v>
      </c>
      <c r="F233" s="94">
        <f>cod06sep07varios4*0.82*frac4</f>
        <v>0</v>
      </c>
      <c r="H233" s="18">
        <v>432</v>
      </c>
      <c r="I233" s="18" t="s">
        <v>383</v>
      </c>
      <c r="J233" s="94">
        <f>cod06sep07varios4*0.82*frac4</f>
        <v>0</v>
      </c>
      <c r="L233" s="18">
        <v>432</v>
      </c>
      <c r="M233" s="18" t="s">
        <v>383</v>
      </c>
      <c r="N233" s="94">
        <f>cod06sep07varios4*0.82*frac4</f>
        <v>0</v>
      </c>
    </row>
    <row r="234" spans="1:14" ht="12.75" hidden="1">
      <c r="A234" s="374">
        <v>4</v>
      </c>
      <c r="B234" s="215"/>
      <c r="C234" s="375"/>
      <c r="D234" s="18">
        <v>434</v>
      </c>
      <c r="E234" s="18" t="s">
        <v>360</v>
      </c>
      <c r="F234" s="94">
        <f>(F227+F228+F229+F230+F232+F233+F231)*0.07*0.95</f>
        <v>0</v>
      </c>
      <c r="H234" s="18">
        <v>434</v>
      </c>
      <c r="I234" s="18" t="s">
        <v>360</v>
      </c>
      <c r="J234" s="94">
        <f>(J227+J228+J229+J230+J232+J233+J231)*0.07*0.95</f>
        <v>0</v>
      </c>
      <c r="L234" s="18">
        <v>434</v>
      </c>
      <c r="M234" s="18" t="s">
        <v>360</v>
      </c>
      <c r="N234" s="94">
        <f>(N227+N228+N229+N230+N232+N233+N231)*0.07*0.95</f>
        <v>0</v>
      </c>
    </row>
    <row r="235" spans="1:14" ht="12.75" hidden="1">
      <c r="A235" s="374">
        <v>4</v>
      </c>
      <c r="B235" s="215"/>
      <c r="C235" s="375"/>
      <c r="D235" s="18"/>
      <c r="E235" s="96"/>
      <c r="F235" s="190"/>
      <c r="H235" s="18"/>
      <c r="I235" s="96"/>
      <c r="J235" s="190"/>
      <c r="L235" s="18"/>
      <c r="M235" s="96"/>
      <c r="N235" s="190"/>
    </row>
    <row r="236" spans="1:14" ht="13.5" hidden="1" thickBot="1">
      <c r="A236" s="374">
        <v>4</v>
      </c>
      <c r="B236" s="215"/>
      <c r="C236" s="375"/>
      <c r="D236" s="18"/>
      <c r="E236" s="96" t="s">
        <v>381</v>
      </c>
      <c r="F236" s="124">
        <v>0</v>
      </c>
      <c r="H236" s="18"/>
      <c r="I236" s="96" t="s">
        <v>381</v>
      </c>
      <c r="J236" s="124">
        <v>0</v>
      </c>
      <c r="L236" s="18"/>
      <c r="M236" s="96" t="s">
        <v>381</v>
      </c>
      <c r="N236" s="124">
        <v>0</v>
      </c>
    </row>
    <row r="237" spans="1:14" ht="16.5" hidden="1" thickBot="1">
      <c r="A237" s="374">
        <v>4</v>
      </c>
      <c r="B237" s="215"/>
      <c r="C237" s="375"/>
      <c r="D237" s="97"/>
      <c r="E237" s="98" t="s">
        <v>21</v>
      </c>
      <c r="F237" s="99">
        <f>SUM(F227:F236)</f>
        <v>0</v>
      </c>
      <c r="H237" s="97"/>
      <c r="I237" s="98" t="s">
        <v>21</v>
      </c>
      <c r="J237" s="99">
        <f>SUM(J227:J236)</f>
        <v>0</v>
      </c>
      <c r="L237" s="97"/>
      <c r="M237" s="98" t="s">
        <v>21</v>
      </c>
      <c r="N237" s="99">
        <f>SUM(N227:N236)</f>
        <v>0</v>
      </c>
    </row>
    <row r="238" spans="1:14" ht="12.75" hidden="1">
      <c r="A238" s="374">
        <v>4</v>
      </c>
      <c r="B238" s="215"/>
      <c r="C238" s="375"/>
      <c r="D238" s="18">
        <v>703</v>
      </c>
      <c r="E238" s="100" t="s">
        <v>363</v>
      </c>
      <c r="F238" s="101">
        <f>(F237-F236)*0.0025</f>
        <v>0</v>
      </c>
      <c r="H238" s="18">
        <v>703</v>
      </c>
      <c r="I238" s="100" t="s">
        <v>363</v>
      </c>
      <c r="J238" s="101">
        <f>(J237-J236)*0.0025</f>
        <v>0</v>
      </c>
      <c r="L238" s="18">
        <v>703</v>
      </c>
      <c r="M238" s="100" t="s">
        <v>363</v>
      </c>
      <c r="N238" s="101">
        <f>(N237-N236)*0.0025</f>
        <v>0</v>
      </c>
    </row>
    <row r="239" spans="1:14" ht="12.75" hidden="1">
      <c r="A239" s="374">
        <v>4</v>
      </c>
      <c r="B239" s="215"/>
      <c r="C239" s="375"/>
      <c r="D239" s="19">
        <v>707</v>
      </c>
      <c r="E239" s="102" t="s">
        <v>23</v>
      </c>
      <c r="F239" s="17">
        <f>(F237-F236)*0.03</f>
        <v>0</v>
      </c>
      <c r="H239" s="19">
        <v>707</v>
      </c>
      <c r="I239" s="102" t="s">
        <v>23</v>
      </c>
      <c r="J239" s="17">
        <f>(J237-J236)*0.03</f>
        <v>0</v>
      </c>
      <c r="L239" s="19">
        <v>707</v>
      </c>
      <c r="M239" s="102" t="s">
        <v>23</v>
      </c>
      <c r="N239" s="17">
        <f>(N237-N236)*0.03</f>
        <v>0</v>
      </c>
    </row>
    <row r="240" spans="1:14" ht="12.75" hidden="1">
      <c r="A240" s="374">
        <v>4</v>
      </c>
      <c r="B240" s="215"/>
      <c r="C240" s="375"/>
      <c r="D240" s="19">
        <v>709</v>
      </c>
      <c r="E240" s="102" t="s">
        <v>24</v>
      </c>
      <c r="F240" s="17">
        <f>(F237-F236)*0.0213</f>
        <v>0</v>
      </c>
      <c r="H240" s="19">
        <v>709</v>
      </c>
      <c r="I240" s="102" t="s">
        <v>24</v>
      </c>
      <c r="J240" s="17">
        <f>(J237-J236)*0.0213</f>
        <v>0</v>
      </c>
      <c r="L240" s="19">
        <v>709</v>
      </c>
      <c r="M240" s="102" t="s">
        <v>24</v>
      </c>
      <c r="N240" s="17">
        <f>(N237-N236)*0.0213</f>
        <v>0</v>
      </c>
    </row>
    <row r="241" spans="1:14" ht="12.75" hidden="1">
      <c r="A241" s="374">
        <v>4</v>
      </c>
      <c r="B241" s="215"/>
      <c r="C241" s="375"/>
      <c r="D241" s="16">
        <v>710</v>
      </c>
      <c r="E241" s="102" t="s">
        <v>25</v>
      </c>
      <c r="F241" s="17">
        <f>(F237-F236)*0.00754</f>
        <v>0</v>
      </c>
      <c r="H241" s="16">
        <v>710</v>
      </c>
      <c r="I241" s="102" t="s">
        <v>25</v>
      </c>
      <c r="J241" s="17">
        <f>(J237-J236)*0.00754</f>
        <v>0</v>
      </c>
      <c r="L241" s="16">
        <v>710</v>
      </c>
      <c r="M241" s="102" t="s">
        <v>25</v>
      </c>
      <c r="N241" s="17">
        <f>(N237-N236)*0.00754</f>
        <v>0</v>
      </c>
    </row>
    <row r="242" spans="1:14" ht="12.75" hidden="1">
      <c r="A242" s="374">
        <v>4</v>
      </c>
      <c r="B242" s="215"/>
      <c r="C242" s="375"/>
      <c r="D242" s="16">
        <v>713</v>
      </c>
      <c r="E242" s="102" t="s">
        <v>26</v>
      </c>
      <c r="F242" s="17">
        <f>(F237-F236)*0.007</f>
        <v>0</v>
      </c>
      <c r="H242" s="16">
        <v>713</v>
      </c>
      <c r="I242" s="102" t="s">
        <v>26</v>
      </c>
      <c r="J242" s="17">
        <f>(J237-J236)*0.007</f>
        <v>0</v>
      </c>
      <c r="L242" s="16">
        <v>713</v>
      </c>
      <c r="M242" s="102" t="s">
        <v>26</v>
      </c>
      <c r="N242" s="17">
        <f>(N237-N236)*0.007</f>
        <v>0</v>
      </c>
    </row>
    <row r="243" spans="1:14" ht="13.5" hidden="1" thickBot="1">
      <c r="A243" s="374">
        <v>4</v>
      </c>
      <c r="B243" s="215"/>
      <c r="C243" s="375"/>
      <c r="D243" s="16"/>
      <c r="E243" s="103" t="s">
        <v>27</v>
      </c>
      <c r="F243" s="49">
        <v>0</v>
      </c>
      <c r="H243" s="16"/>
      <c r="I243" s="103" t="s">
        <v>27</v>
      </c>
      <c r="J243" s="49">
        <v>0</v>
      </c>
      <c r="L243" s="16"/>
      <c r="M243" s="103" t="s">
        <v>27</v>
      </c>
      <c r="N243" s="49">
        <v>0</v>
      </c>
    </row>
    <row r="244" spans="1:14" ht="16.5" hidden="1" thickBot="1">
      <c r="A244" s="374">
        <v>4</v>
      </c>
      <c r="B244" s="215"/>
      <c r="C244" s="375"/>
      <c r="D244" s="104"/>
      <c r="E244" s="98" t="s">
        <v>28</v>
      </c>
      <c r="F244" s="99">
        <f>SUM(F238:F243)</f>
        <v>0</v>
      </c>
      <c r="H244" s="104"/>
      <c r="I244" s="98" t="s">
        <v>28</v>
      </c>
      <c r="J244" s="99">
        <f>SUM(J238:J243)</f>
        <v>0</v>
      </c>
      <c r="L244" s="104"/>
      <c r="M244" s="98" t="s">
        <v>28</v>
      </c>
      <c r="N244" s="99">
        <f>SUM(N238:N243)</f>
        <v>0</v>
      </c>
    </row>
    <row r="245" spans="1:14" ht="13.5" hidden="1" thickBot="1">
      <c r="A245" s="374">
        <v>4</v>
      </c>
      <c r="B245" s="215"/>
      <c r="C245" s="375"/>
      <c r="D245" s="105"/>
      <c r="E245" s="106"/>
      <c r="F245" s="107"/>
      <c r="H245" s="105"/>
      <c r="I245" s="106"/>
      <c r="J245" s="107"/>
      <c r="L245" s="105"/>
      <c r="M245" s="106"/>
      <c r="N245" s="107"/>
    </row>
    <row r="246" spans="1:14" ht="16.5" hidden="1" thickBot="1">
      <c r="A246" s="374">
        <v>4</v>
      </c>
      <c r="B246" s="216"/>
      <c r="C246" s="375"/>
      <c r="D246" s="108"/>
      <c r="E246" s="109" t="s">
        <v>29</v>
      </c>
      <c r="F246" s="110">
        <f>F237-F244</f>
        <v>0</v>
      </c>
      <c r="H246" s="108"/>
      <c r="I246" s="109" t="s">
        <v>29</v>
      </c>
      <c r="J246" s="110">
        <f>J237-J244</f>
        <v>0</v>
      </c>
      <c r="L246" s="108"/>
      <c r="M246" s="109" t="s">
        <v>29</v>
      </c>
      <c r="N246" s="110">
        <f>N237-N244</f>
        <v>0</v>
      </c>
    </row>
    <row r="247" spans="1:10" s="321" customFormat="1" ht="15.75" hidden="1">
      <c r="A247" s="374">
        <v>4</v>
      </c>
      <c r="B247" s="215"/>
      <c r="C247" s="378"/>
      <c r="D247" s="12"/>
      <c r="E247" s="77"/>
      <c r="F247" s="325"/>
      <c r="G247" s="12"/>
      <c r="H247" s="12"/>
      <c r="I247" s="77"/>
      <c r="J247" s="325"/>
    </row>
    <row r="248" spans="1:16" s="321" customFormat="1" ht="15.75" hidden="1">
      <c r="A248" s="374">
        <v>4</v>
      </c>
      <c r="B248" s="215"/>
      <c r="C248" s="378"/>
      <c r="D248" s="77"/>
      <c r="E248" s="12"/>
      <c r="F248" s="326"/>
      <c r="G248" s="12"/>
      <c r="H248" s="77"/>
      <c r="I248" s="256" t="s">
        <v>471</v>
      </c>
      <c r="J248" s="257">
        <f>J246-F246</f>
        <v>0</v>
      </c>
      <c r="K248"/>
      <c r="L248"/>
      <c r="M248" s="256" t="s">
        <v>469</v>
      </c>
      <c r="N248" s="257">
        <f>N246-J246</f>
        <v>0</v>
      </c>
      <c r="O248" s="334" t="s">
        <v>467</v>
      </c>
      <c r="P248" s="335">
        <f>N246-F246</f>
        <v>0</v>
      </c>
    </row>
    <row r="249" spans="1:16" s="321" customFormat="1" ht="15.75" hidden="1">
      <c r="A249" s="374">
        <v>4</v>
      </c>
      <c r="B249" s="215"/>
      <c r="C249" s="215"/>
      <c r="D249" s="327"/>
      <c r="E249" s="328"/>
      <c r="F249" s="329"/>
      <c r="G249" s="12"/>
      <c r="H249" s="327"/>
      <c r="I249" s="256" t="s">
        <v>472</v>
      </c>
      <c r="J249" s="258" t="e">
        <f>J248/F246</f>
        <v>#DIV/0!</v>
      </c>
      <c r="K249"/>
      <c r="L249"/>
      <c r="M249" s="256" t="s">
        <v>470</v>
      </c>
      <c r="N249" s="258" t="e">
        <f>N248/J246</f>
        <v>#DIV/0!</v>
      </c>
      <c r="O249" s="334" t="s">
        <v>468</v>
      </c>
      <c r="P249" s="336" t="e">
        <f>P248/F246</f>
        <v>#DIV/0!</v>
      </c>
    </row>
    <row r="250" spans="1:15" ht="15.75">
      <c r="A250" s="374">
        <v>4</v>
      </c>
      <c r="B250" s="216"/>
      <c r="C250" s="216"/>
      <c r="D250" s="379"/>
      <c r="E250" s="380"/>
      <c r="F250" s="381"/>
      <c r="G250" s="216"/>
      <c r="H250" s="379"/>
      <c r="I250" s="380"/>
      <c r="J250" s="381"/>
      <c r="K250" s="375"/>
      <c r="L250" s="375"/>
      <c r="M250" s="375"/>
      <c r="N250" s="375"/>
      <c r="O250" s="375"/>
    </row>
    <row r="251" spans="1:17" ht="15.75" hidden="1">
      <c r="A251" s="374">
        <v>4</v>
      </c>
      <c r="B251" s="216"/>
      <c r="C251" s="379"/>
      <c r="D251" s="382"/>
      <c r="E251" s="383"/>
      <c r="F251" s="216"/>
      <c r="G251" s="379"/>
      <c r="H251" s="384"/>
      <c r="I251" s="385"/>
      <c r="J251" s="385"/>
      <c r="K251" s="385"/>
      <c r="L251" s="385"/>
      <c r="M251" s="216"/>
      <c r="N251" s="377"/>
      <c r="O251" s="215"/>
      <c r="P251" s="11"/>
      <c r="Q251" s="11"/>
    </row>
    <row r="252" spans="1:17" ht="12.75">
      <c r="A252">
        <v>4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5"/>
      <c r="N252" s="12"/>
      <c r="O252" s="112"/>
      <c r="P252" s="11"/>
      <c r="Q252" s="11"/>
    </row>
    <row r="253" spans="2:17" ht="26.25">
      <c r="B253" s="11"/>
      <c r="C253" s="11"/>
      <c r="E253" s="11"/>
      <c r="F253" s="11"/>
      <c r="G253" s="400" t="s">
        <v>411</v>
      </c>
      <c r="H253" s="11"/>
      <c r="I253" s="11"/>
      <c r="J253" s="11"/>
      <c r="K253" s="11"/>
      <c r="L253" s="11"/>
      <c r="M253" s="15"/>
      <c r="N253" s="12"/>
      <c r="O253" s="112"/>
      <c r="P253" s="11"/>
      <c r="Q253" s="11"/>
    </row>
    <row r="254" spans="2:17" ht="13.5" thickBo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5"/>
      <c r="N254" s="12"/>
      <c r="O254" s="112"/>
      <c r="P254" s="11"/>
      <c r="Q254" s="11"/>
    </row>
    <row r="255" spans="6:12" ht="21" thickBot="1">
      <c r="F255" s="220" t="s">
        <v>412</v>
      </c>
      <c r="G255" s="221"/>
      <c r="H255" s="222"/>
      <c r="I255" s="223">
        <f>H27+H87+H151+H216</f>
        <v>120</v>
      </c>
      <c r="J255" s="224" t="s">
        <v>413</v>
      </c>
      <c r="K255" s="243"/>
      <c r="L255" s="243"/>
    </row>
    <row r="257" spans="4:14" ht="18">
      <c r="D257" s="11"/>
      <c r="E257" s="390" t="s">
        <v>455</v>
      </c>
      <c r="F257" s="11"/>
      <c r="G257" s="177"/>
      <c r="H257" s="11"/>
      <c r="I257" s="390" t="s">
        <v>461</v>
      </c>
      <c r="J257" s="11"/>
      <c r="L257" s="11"/>
      <c r="M257" s="390" t="s">
        <v>473</v>
      </c>
      <c r="N257" s="11"/>
    </row>
    <row r="258" spans="2:16" ht="12.75">
      <c r="B258" s="2"/>
      <c r="C258" s="11"/>
      <c r="D258" s="18">
        <v>400</v>
      </c>
      <c r="E258" s="18" t="s">
        <v>19</v>
      </c>
      <c r="F258" s="94">
        <f aca="true" t="shared" si="28" ref="F258:F265">F37+F98+F162+F227</f>
        <v>394.1289</v>
      </c>
      <c r="H258" s="18">
        <v>400</v>
      </c>
      <c r="I258" s="18" t="s">
        <v>19</v>
      </c>
      <c r="J258" s="94">
        <f aca="true" t="shared" si="29" ref="J258:J265">J37+J98+J162+J227</f>
        <v>469.7698</v>
      </c>
      <c r="K258" s="403">
        <f>J258-F258</f>
        <v>75.64089999999999</v>
      </c>
      <c r="L258" s="18">
        <v>400</v>
      </c>
      <c r="M258" s="18" t="s">
        <v>19</v>
      </c>
      <c r="N258" s="94">
        <f aca="true" t="shared" si="30" ref="N258:N265">N37+N98+N162+N227</f>
        <v>501.61859999999996</v>
      </c>
      <c r="O258" s="403">
        <f>N258-J258</f>
        <v>31.848799999999983</v>
      </c>
      <c r="P258" s="408">
        <f>N258-F258</f>
        <v>107.48969999999997</v>
      </c>
    </row>
    <row r="259" spans="2:16" ht="12.75">
      <c r="B259" s="2"/>
      <c r="C259" s="11"/>
      <c r="D259" s="18" t="s">
        <v>463</v>
      </c>
      <c r="E259" s="18" t="s">
        <v>454</v>
      </c>
      <c r="F259" s="94">
        <f t="shared" si="28"/>
        <v>0</v>
      </c>
      <c r="H259" s="18" t="s">
        <v>463</v>
      </c>
      <c r="I259" s="18" t="s">
        <v>454</v>
      </c>
      <c r="J259" s="94">
        <f t="shared" si="29"/>
        <v>82.246</v>
      </c>
      <c r="K259" s="403">
        <f aca="true" t="shared" si="31" ref="K259:K276">J259-F259</f>
        <v>82.246</v>
      </c>
      <c r="L259" s="18" t="s">
        <v>463</v>
      </c>
      <c r="M259" s="18" t="s">
        <v>454</v>
      </c>
      <c r="N259" s="94">
        <f t="shared" si="30"/>
        <v>87.82199999999999</v>
      </c>
      <c r="O259" s="403">
        <f aca="true" t="shared" si="32" ref="O259:O276">N259-J259</f>
        <v>5.575999999999993</v>
      </c>
      <c r="P259" s="409">
        <f aca="true" t="shared" si="33" ref="P259:P266">N259-F259</f>
        <v>87.82199999999999</v>
      </c>
    </row>
    <row r="260" spans="2:16" ht="12.75">
      <c r="B260" s="2"/>
      <c r="C260" s="11"/>
      <c r="D260" s="18">
        <v>404</v>
      </c>
      <c r="E260" s="18" t="s">
        <v>361</v>
      </c>
      <c r="F260" s="94">
        <f t="shared" si="28"/>
        <v>0</v>
      </c>
      <c r="H260" s="18">
        <v>404</v>
      </c>
      <c r="I260" s="18" t="s">
        <v>361</v>
      </c>
      <c r="J260" s="94">
        <f t="shared" si="29"/>
        <v>0</v>
      </c>
      <c r="K260" s="403">
        <f t="shared" si="31"/>
        <v>0</v>
      </c>
      <c r="L260" s="18">
        <v>404</v>
      </c>
      <c r="M260" s="18" t="s">
        <v>361</v>
      </c>
      <c r="N260" s="94">
        <f t="shared" si="30"/>
        <v>0</v>
      </c>
      <c r="O260" s="403">
        <f t="shared" si="32"/>
        <v>0</v>
      </c>
      <c r="P260" s="409">
        <f t="shared" si="33"/>
        <v>0</v>
      </c>
    </row>
    <row r="261" spans="2:16" ht="12.75">
      <c r="B261" s="2"/>
      <c r="C261" s="11"/>
      <c r="D261" s="18">
        <v>406</v>
      </c>
      <c r="E261" s="18" t="s">
        <v>20</v>
      </c>
      <c r="F261" s="94">
        <f t="shared" si="28"/>
        <v>472.95467999999994</v>
      </c>
      <c r="H261" s="18">
        <v>406</v>
      </c>
      <c r="I261" s="18" t="s">
        <v>20</v>
      </c>
      <c r="J261" s="94">
        <f t="shared" si="29"/>
        <v>662.41896</v>
      </c>
      <c r="K261" s="403">
        <f t="shared" si="31"/>
        <v>189.46428000000003</v>
      </c>
      <c r="L261" s="18">
        <v>406</v>
      </c>
      <c r="M261" s="18" t="s">
        <v>20</v>
      </c>
      <c r="N261" s="94">
        <f t="shared" si="30"/>
        <v>707.3287199999999</v>
      </c>
      <c r="O261" s="403">
        <f t="shared" si="32"/>
        <v>44.90975999999989</v>
      </c>
      <c r="P261" s="409">
        <f t="shared" si="33"/>
        <v>234.37403999999992</v>
      </c>
    </row>
    <row r="262" spans="2:16" ht="12.75">
      <c r="B262" s="2"/>
      <c r="C262" s="11"/>
      <c r="D262" s="18">
        <v>408</v>
      </c>
      <c r="E262" s="18" t="s">
        <v>385</v>
      </c>
      <c r="F262" s="94">
        <f t="shared" si="28"/>
        <v>0</v>
      </c>
      <c r="H262" s="18">
        <v>408</v>
      </c>
      <c r="I262" s="18" t="s">
        <v>385</v>
      </c>
      <c r="J262" s="94">
        <f t="shared" si="29"/>
        <v>0</v>
      </c>
      <c r="K262" s="403">
        <f t="shared" si="31"/>
        <v>0</v>
      </c>
      <c r="L262" s="18">
        <v>408</v>
      </c>
      <c r="M262" s="18" t="s">
        <v>385</v>
      </c>
      <c r="N262" s="94">
        <f t="shared" si="30"/>
        <v>0</v>
      </c>
      <c r="O262" s="403">
        <f t="shared" si="32"/>
        <v>0</v>
      </c>
      <c r="P262" s="409">
        <f t="shared" si="33"/>
        <v>0</v>
      </c>
    </row>
    <row r="263" spans="2:16" ht="12.75">
      <c r="B263" s="2"/>
      <c r="C263" s="15"/>
      <c r="D263" s="18">
        <v>416</v>
      </c>
      <c r="E263" s="95" t="s">
        <v>362</v>
      </c>
      <c r="F263" s="94">
        <f t="shared" si="28"/>
        <v>0</v>
      </c>
      <c r="H263" s="18">
        <v>416</v>
      </c>
      <c r="I263" s="102" t="s">
        <v>362</v>
      </c>
      <c r="J263" s="94">
        <f t="shared" si="29"/>
        <v>0</v>
      </c>
      <c r="K263" s="403">
        <f t="shared" si="31"/>
        <v>0</v>
      </c>
      <c r="L263" s="18">
        <v>416</v>
      </c>
      <c r="M263" s="102" t="s">
        <v>362</v>
      </c>
      <c r="N263" s="94">
        <f t="shared" si="30"/>
        <v>0</v>
      </c>
      <c r="O263" s="403">
        <f t="shared" si="32"/>
        <v>0</v>
      </c>
      <c r="P263" s="409">
        <f t="shared" si="33"/>
        <v>0</v>
      </c>
    </row>
    <row r="264" spans="2:16" ht="12.75">
      <c r="B264" s="2"/>
      <c r="C264" s="15"/>
      <c r="D264" s="18">
        <v>432</v>
      </c>
      <c r="E264" s="18" t="s">
        <v>383</v>
      </c>
      <c r="F264" s="94">
        <f t="shared" si="28"/>
        <v>508.4</v>
      </c>
      <c r="H264" s="18">
        <v>432</v>
      </c>
      <c r="I264" s="18" t="s">
        <v>383</v>
      </c>
      <c r="J264" s="94">
        <f t="shared" si="29"/>
        <v>508.4</v>
      </c>
      <c r="K264" s="403">
        <f t="shared" si="31"/>
        <v>0</v>
      </c>
      <c r="L264" s="18">
        <v>432</v>
      </c>
      <c r="M264" s="18" t="s">
        <v>383</v>
      </c>
      <c r="N264" s="94">
        <f t="shared" si="30"/>
        <v>508.4</v>
      </c>
      <c r="O264" s="403">
        <f t="shared" si="32"/>
        <v>0</v>
      </c>
      <c r="P264" s="409">
        <f t="shared" si="33"/>
        <v>0</v>
      </c>
    </row>
    <row r="265" spans="2:16" ht="12.75">
      <c r="B265" s="2"/>
      <c r="C265" s="15"/>
      <c r="D265" s="18">
        <v>434</v>
      </c>
      <c r="E265" s="18" t="s">
        <v>360</v>
      </c>
      <c r="F265" s="94">
        <f t="shared" si="28"/>
        <v>91.46965807000001</v>
      </c>
      <c r="H265" s="18">
        <v>434</v>
      </c>
      <c r="I265" s="18" t="s">
        <v>360</v>
      </c>
      <c r="J265" s="94">
        <f t="shared" si="29"/>
        <v>114.56851154000002</v>
      </c>
      <c r="K265" s="403">
        <f t="shared" si="31"/>
        <v>23.09885347000001</v>
      </c>
      <c r="L265" s="18">
        <v>434</v>
      </c>
      <c r="M265" s="18" t="s">
        <v>360</v>
      </c>
      <c r="N265" s="94">
        <f t="shared" si="30"/>
        <v>120.04375978</v>
      </c>
      <c r="O265" s="403">
        <f t="shared" si="32"/>
        <v>5.475248239999985</v>
      </c>
      <c r="P265" s="409">
        <f t="shared" si="33"/>
        <v>28.574101709999994</v>
      </c>
    </row>
    <row r="266" spans="2:16" ht="13.5" thickBot="1">
      <c r="B266" s="2"/>
      <c r="C266" s="15"/>
      <c r="D266" s="18"/>
      <c r="E266" s="96" t="s">
        <v>381</v>
      </c>
      <c r="F266" s="399">
        <f>F46+F107+F171+F236</f>
        <v>0</v>
      </c>
      <c r="H266" s="18"/>
      <c r="I266" s="96" t="s">
        <v>381</v>
      </c>
      <c r="J266" s="330">
        <f>F266</f>
        <v>0</v>
      </c>
      <c r="K266" s="403">
        <f t="shared" si="31"/>
        <v>0</v>
      </c>
      <c r="L266" s="18"/>
      <c r="M266" s="96" t="s">
        <v>381</v>
      </c>
      <c r="N266" s="330">
        <f>J266</f>
        <v>0</v>
      </c>
      <c r="O266" s="403">
        <f t="shared" si="32"/>
        <v>0</v>
      </c>
      <c r="P266" s="409">
        <f t="shared" si="33"/>
        <v>0</v>
      </c>
    </row>
    <row r="267" spans="2:16" ht="13.5" thickBot="1">
      <c r="B267" s="2"/>
      <c r="C267" s="15"/>
      <c r="D267" s="97"/>
      <c r="E267" s="98" t="s">
        <v>21</v>
      </c>
      <c r="F267" s="332">
        <f>SUM(F258:F266)</f>
        <v>1466.95323807</v>
      </c>
      <c r="H267" s="97"/>
      <c r="I267" s="98" t="s">
        <v>21</v>
      </c>
      <c r="J267" s="332">
        <f>SUM(J258:J266)</f>
        <v>1837.40327154</v>
      </c>
      <c r="K267" s="404">
        <f t="shared" si="31"/>
        <v>370.4500334700001</v>
      </c>
      <c r="L267" s="97"/>
      <c r="M267" s="98" t="s">
        <v>21</v>
      </c>
      <c r="N267" s="332">
        <f>SUM(N258:N266)</f>
        <v>1925.21307978</v>
      </c>
      <c r="O267" s="407">
        <f t="shared" si="32"/>
        <v>87.80980823999994</v>
      </c>
      <c r="P267" s="410">
        <f>N267-F267</f>
        <v>458.25984171000005</v>
      </c>
    </row>
    <row r="268" spans="2:17" ht="12.75">
      <c r="B268" s="2"/>
      <c r="C268" s="15"/>
      <c r="D268" s="18">
        <v>703</v>
      </c>
      <c r="E268" s="100" t="s">
        <v>363</v>
      </c>
      <c r="F268" s="17">
        <f aca="true" t="shared" si="34" ref="F268:F273">F48+F109+F173+F238</f>
        <v>3.667383095175</v>
      </c>
      <c r="H268" s="18">
        <v>703</v>
      </c>
      <c r="I268" s="100" t="s">
        <v>363</v>
      </c>
      <c r="J268" s="17">
        <f>J48+J109+J173+J238</f>
        <v>4.5935081788500005</v>
      </c>
      <c r="K268" s="402">
        <f t="shared" si="31"/>
        <v>0.9261250836750006</v>
      </c>
      <c r="L268" s="18">
        <v>703</v>
      </c>
      <c r="M268" s="100" t="s">
        <v>363</v>
      </c>
      <c r="N268" s="17">
        <f>N48+N109+N173+N238</f>
        <v>4.81303269945</v>
      </c>
      <c r="O268" s="402">
        <f t="shared" si="32"/>
        <v>0.21952452059999938</v>
      </c>
      <c r="P268" s="411">
        <f aca="true" t="shared" si="35" ref="P268:P276">N268-F268</f>
        <v>1.145649604275</v>
      </c>
      <c r="Q268" s="406"/>
    </row>
    <row r="269" spans="2:17" ht="12.75">
      <c r="B269" s="2"/>
      <c r="C269" s="15"/>
      <c r="D269" s="19">
        <v>707</v>
      </c>
      <c r="E269" s="102" t="s">
        <v>23</v>
      </c>
      <c r="F269" s="17">
        <f t="shared" si="34"/>
        <v>44.0085971421</v>
      </c>
      <c r="H269" s="19">
        <v>707</v>
      </c>
      <c r="I269" s="102" t="s">
        <v>23</v>
      </c>
      <c r="J269" s="17">
        <f>J49+J110+J174+J239</f>
        <v>55.1220981462</v>
      </c>
      <c r="K269" s="402">
        <f t="shared" si="31"/>
        <v>11.113501004100002</v>
      </c>
      <c r="L269" s="19">
        <v>707</v>
      </c>
      <c r="M269" s="102" t="s">
        <v>23</v>
      </c>
      <c r="N269" s="17">
        <f>N49+N110+N174+N239</f>
        <v>57.7563923934</v>
      </c>
      <c r="O269" s="402">
        <f t="shared" si="32"/>
        <v>2.634294247199996</v>
      </c>
      <c r="P269" s="411">
        <f t="shared" si="35"/>
        <v>13.747795251299998</v>
      </c>
      <c r="Q269" s="406"/>
    </row>
    <row r="270" spans="2:17" ht="12.75">
      <c r="B270" s="2"/>
      <c r="C270" s="15"/>
      <c r="D270" s="19">
        <v>709</v>
      </c>
      <c r="E270" s="102" t="s">
        <v>24</v>
      </c>
      <c r="F270" s="17">
        <f t="shared" si="34"/>
        <v>31.246103970891</v>
      </c>
      <c r="H270" s="19">
        <v>709</v>
      </c>
      <c r="I270" s="102" t="s">
        <v>24</v>
      </c>
      <c r="J270" s="17">
        <f>J50+J111+J175+J240</f>
        <v>39.136689683802004</v>
      </c>
      <c r="K270" s="402">
        <f t="shared" si="31"/>
        <v>7.890585712911005</v>
      </c>
      <c r="L270" s="19">
        <v>709</v>
      </c>
      <c r="M270" s="102" t="s">
        <v>24</v>
      </c>
      <c r="N270" s="17">
        <f>N50+N111+N175+N240</f>
        <v>41.007038599314</v>
      </c>
      <c r="O270" s="402">
        <f t="shared" si="32"/>
        <v>1.8703489155119968</v>
      </c>
      <c r="P270" s="411">
        <f t="shared" si="35"/>
        <v>9.760934628423001</v>
      </c>
      <c r="Q270" s="406"/>
    </row>
    <row r="271" spans="2:17" ht="12.75">
      <c r="B271" s="2"/>
      <c r="C271" s="15"/>
      <c r="D271" s="16">
        <v>710</v>
      </c>
      <c r="E271" s="102" t="s">
        <v>25</v>
      </c>
      <c r="F271" s="17">
        <f t="shared" si="34"/>
        <v>11.0608274150478</v>
      </c>
      <c r="H271" s="16">
        <v>710</v>
      </c>
      <c r="I271" s="102" t="s">
        <v>25</v>
      </c>
      <c r="J271" s="17">
        <f>J51+J112+J176+J241</f>
        <v>13.8540206674116</v>
      </c>
      <c r="K271" s="402">
        <f t="shared" si="31"/>
        <v>2.7931932523637997</v>
      </c>
      <c r="L271" s="16">
        <v>710</v>
      </c>
      <c r="M271" s="102" t="s">
        <v>25</v>
      </c>
      <c r="N271" s="17">
        <f>N51+N112+N176+N241</f>
        <v>14.5161066215412</v>
      </c>
      <c r="O271" s="402">
        <f t="shared" si="32"/>
        <v>0.6620859541295996</v>
      </c>
      <c r="P271" s="411">
        <f t="shared" si="35"/>
        <v>3.4552792064933993</v>
      </c>
      <c r="Q271" s="406"/>
    </row>
    <row r="272" spans="2:17" ht="12.75">
      <c r="B272" s="2"/>
      <c r="C272" s="11"/>
      <c r="D272" s="16">
        <v>713</v>
      </c>
      <c r="E272" s="102" t="s">
        <v>26</v>
      </c>
      <c r="F272" s="17">
        <f t="shared" si="34"/>
        <v>10.26867266649</v>
      </c>
      <c r="H272" s="16">
        <v>713</v>
      </c>
      <c r="I272" s="102" t="s">
        <v>26</v>
      </c>
      <c r="J272" s="17">
        <f>J52+J113+J177+J242</f>
        <v>12.861822900780002</v>
      </c>
      <c r="K272" s="402">
        <f t="shared" si="31"/>
        <v>2.593150234290002</v>
      </c>
      <c r="L272" s="16">
        <v>713</v>
      </c>
      <c r="M272" s="102" t="s">
        <v>26</v>
      </c>
      <c r="N272" s="17">
        <f>N52+N113+N177+N242</f>
        <v>13.476491558460001</v>
      </c>
      <c r="O272" s="402">
        <f t="shared" si="32"/>
        <v>0.6146686576799993</v>
      </c>
      <c r="P272" s="411">
        <f t="shared" si="35"/>
        <v>3.2078188919700015</v>
      </c>
      <c r="Q272" s="406"/>
    </row>
    <row r="273" spans="2:17" ht="13.5" thickBot="1">
      <c r="B273" s="2"/>
      <c r="C273" s="191"/>
      <c r="D273" s="16"/>
      <c r="E273" s="103" t="s">
        <v>27</v>
      </c>
      <c r="F273" s="401">
        <f t="shared" si="34"/>
        <v>0</v>
      </c>
      <c r="H273" s="16"/>
      <c r="I273" s="103" t="s">
        <v>27</v>
      </c>
      <c r="J273" s="17">
        <f>F273</f>
        <v>0</v>
      </c>
      <c r="K273" s="402">
        <f t="shared" si="31"/>
        <v>0</v>
      </c>
      <c r="L273" s="16"/>
      <c r="M273" s="103" t="s">
        <v>27</v>
      </c>
      <c r="N273" s="17">
        <f>J273</f>
        <v>0</v>
      </c>
      <c r="O273" s="402">
        <f t="shared" si="32"/>
        <v>0</v>
      </c>
      <c r="P273" s="411">
        <f t="shared" si="35"/>
        <v>0</v>
      </c>
      <c r="Q273" s="406"/>
    </row>
    <row r="274" spans="2:17" ht="13.5" thickBot="1">
      <c r="B274" s="2"/>
      <c r="C274" s="191"/>
      <c r="D274" s="104"/>
      <c r="E274" s="98" t="s">
        <v>28</v>
      </c>
      <c r="F274" s="331">
        <f>SUM(F268:F273)</f>
        <v>100.2515842897038</v>
      </c>
      <c r="H274" s="104"/>
      <c r="I274" s="98" t="s">
        <v>28</v>
      </c>
      <c r="J274" s="331">
        <f>SUM(J268:J273)</f>
        <v>125.56813957704361</v>
      </c>
      <c r="K274" s="402">
        <f t="shared" si="31"/>
        <v>25.31655528733981</v>
      </c>
      <c r="L274" s="104"/>
      <c r="M274" s="98" t="s">
        <v>28</v>
      </c>
      <c r="N274" s="331">
        <f>SUM(N268:N273)</f>
        <v>131.5690618721652</v>
      </c>
      <c r="O274" s="402">
        <f t="shared" si="32"/>
        <v>6.0009222951215975</v>
      </c>
      <c r="P274" s="411">
        <f t="shared" si="35"/>
        <v>31.317477582461407</v>
      </c>
      <c r="Q274" s="406"/>
    </row>
    <row r="275" spans="2:17" ht="13.5" thickBot="1">
      <c r="B275" s="2"/>
      <c r="C275" s="191"/>
      <c r="D275" s="105"/>
      <c r="E275" s="106"/>
      <c r="F275" s="94"/>
      <c r="H275" s="105"/>
      <c r="I275" s="106"/>
      <c r="J275" s="94"/>
      <c r="K275" s="402">
        <f t="shared" si="31"/>
        <v>0</v>
      </c>
      <c r="L275" s="105"/>
      <c r="M275" s="106"/>
      <c r="N275" s="94"/>
      <c r="O275" s="402">
        <f t="shared" si="32"/>
        <v>0</v>
      </c>
      <c r="P275" s="411">
        <f t="shared" si="35"/>
        <v>0</v>
      </c>
      <c r="Q275" s="406"/>
    </row>
    <row r="276" spans="2:17" ht="16.5" thickBot="1">
      <c r="B276" s="2"/>
      <c r="C276" s="192"/>
      <c r="D276" s="108"/>
      <c r="E276" s="109" t="s">
        <v>29</v>
      </c>
      <c r="F276" s="333">
        <f>F267-F274</f>
        <v>1366.7016537802963</v>
      </c>
      <c r="H276" s="108"/>
      <c r="I276" s="109" t="s">
        <v>29</v>
      </c>
      <c r="J276" s="333">
        <f>J267-J274</f>
        <v>1711.8351319629564</v>
      </c>
      <c r="K276" s="405">
        <f t="shared" si="31"/>
        <v>345.13347818266016</v>
      </c>
      <c r="L276" s="108"/>
      <c r="M276" s="109" t="s">
        <v>29</v>
      </c>
      <c r="N276" s="333">
        <f>N267-N274</f>
        <v>1793.644017907835</v>
      </c>
      <c r="O276" s="405">
        <f t="shared" si="32"/>
        <v>81.80888594487851</v>
      </c>
      <c r="P276" s="412">
        <f t="shared" si="35"/>
        <v>426.94236412753867</v>
      </c>
      <c r="Q276" s="406"/>
    </row>
    <row r="277" spans="2:10" ht="12.75">
      <c r="B277" s="11"/>
      <c r="C277" s="11"/>
      <c r="D277" s="4"/>
      <c r="E277" s="239"/>
      <c r="F277" s="3"/>
      <c r="G277" s="11"/>
      <c r="H277" s="4"/>
      <c r="I277" s="239"/>
      <c r="J277" s="3"/>
    </row>
    <row r="278" spans="2:16" ht="15.75">
      <c r="B278" s="11"/>
      <c r="C278" s="11"/>
      <c r="D278" s="4"/>
      <c r="E278" s="239"/>
      <c r="F278" s="3"/>
      <c r="G278" s="11"/>
      <c r="H278" s="4"/>
      <c r="I278" s="256" t="s">
        <v>471</v>
      </c>
      <c r="J278" s="257">
        <f>J276-F276</f>
        <v>345.13347818266016</v>
      </c>
      <c r="M278" s="256" t="s">
        <v>469</v>
      </c>
      <c r="N278" s="257">
        <f>N276-J276</f>
        <v>81.80888594487851</v>
      </c>
      <c r="O278" s="334" t="s">
        <v>467</v>
      </c>
      <c r="P278" s="335">
        <f>N276-F276</f>
        <v>426.94236412753867</v>
      </c>
    </row>
    <row r="279" spans="2:16" ht="15.75">
      <c r="B279" s="11"/>
      <c r="C279" s="11"/>
      <c r="D279" s="4"/>
      <c r="E279" s="239"/>
      <c r="F279" s="3"/>
      <c r="G279" s="11"/>
      <c r="H279" s="4"/>
      <c r="I279" s="256" t="s">
        <v>472</v>
      </c>
      <c r="J279" s="258">
        <f>J278/F276</f>
        <v>0.25253022649677864</v>
      </c>
      <c r="M279" s="256" t="s">
        <v>470</v>
      </c>
      <c r="N279" s="258">
        <f>N278/J276</f>
        <v>0.04779016648120108</v>
      </c>
      <c r="O279" s="334" t="s">
        <v>468</v>
      </c>
      <c r="P279" s="336">
        <f>P278/F276</f>
        <v>0.31238885454379617</v>
      </c>
    </row>
    <row r="280" spans="2:17" ht="15.75">
      <c r="B280" s="111"/>
      <c r="C280" s="195"/>
      <c r="D280" s="196"/>
      <c r="E280" s="197"/>
      <c r="F280" s="111"/>
      <c r="G280" s="195"/>
      <c r="H280" s="198"/>
      <c r="I280" s="199"/>
      <c r="J280" s="199"/>
      <c r="K280" s="199"/>
      <c r="L280" s="199"/>
      <c r="M280" s="11"/>
      <c r="N280" s="77"/>
      <c r="O280" s="12"/>
      <c r="P280" s="11"/>
      <c r="Q280" s="11"/>
    </row>
    <row r="281" spans="2:17" ht="15.75" hidden="1">
      <c r="B281" s="111"/>
      <c r="C281" s="195"/>
      <c r="D281" s="196"/>
      <c r="E281" s="197"/>
      <c r="F281" s="111"/>
      <c r="G281" s="195"/>
      <c r="H281" s="198"/>
      <c r="I281" s="199"/>
      <c r="J281" s="199"/>
      <c r="K281" s="199"/>
      <c r="L281" s="199"/>
      <c r="M281" s="11"/>
      <c r="N281" s="77"/>
      <c r="O281" s="12"/>
      <c r="P281" s="11"/>
      <c r="Q281" s="11"/>
    </row>
    <row r="282" ht="12.75" hidden="1"/>
    <row r="283" ht="13.5" thickBot="1"/>
    <row r="284" spans="4:6" ht="13.5" thickTop="1">
      <c r="D284" s="225" t="s">
        <v>11</v>
      </c>
      <c r="E284" s="226"/>
      <c r="F284" s="80"/>
    </row>
    <row r="285" spans="4:6" ht="12.75">
      <c r="D285" s="227" t="s">
        <v>12</v>
      </c>
      <c r="E285" s="228"/>
      <c r="F285" s="51"/>
    </row>
    <row r="286" spans="4:6" ht="12.75">
      <c r="D286" s="227" t="s">
        <v>13</v>
      </c>
      <c r="E286" s="228"/>
      <c r="F286" s="51"/>
    </row>
    <row r="287" spans="4:6" ht="12.75">
      <c r="D287" s="227" t="s">
        <v>379</v>
      </c>
      <c r="E287" s="228"/>
      <c r="F287" s="51"/>
    </row>
    <row r="288" spans="4:6" ht="12.75">
      <c r="D288" s="229" t="s">
        <v>409</v>
      </c>
      <c r="E288" s="228"/>
      <c r="F288" s="51"/>
    </row>
    <row r="289" spans="4:6" ht="12.75">
      <c r="D289" s="230" t="s">
        <v>380</v>
      </c>
      <c r="E289" s="228"/>
      <c r="F289" s="51"/>
    </row>
    <row r="290" spans="4:6" ht="13.5" thickBot="1">
      <c r="D290" s="231" t="s">
        <v>407</v>
      </c>
      <c r="E290" s="232"/>
      <c r="F290" s="233"/>
    </row>
    <row r="291" ht="13.5" thickTop="1"/>
  </sheetData>
  <sheetProtection password="C9B5" sheet="1" objects="1" scenarios="1"/>
  <hyperlinks>
    <hyperlink ref="D289" r:id="rId1" display="www.agmeruruguay.com.ar"/>
    <hyperlink ref="D290" r:id="rId2" display="www.celestecompromiso.com.ar"/>
    <hyperlink ref="D288" r:id="rId3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">
      <selection activeCell="B24" sqref="B24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0"/>
      <c r="B1" s="21" t="s">
        <v>48</v>
      </c>
      <c r="C1" s="22"/>
      <c r="D1" s="23"/>
      <c r="E1" s="23" t="s">
        <v>49</v>
      </c>
      <c r="F1" s="24" t="s">
        <v>50</v>
      </c>
      <c r="G1" s="24" t="s">
        <v>51</v>
      </c>
    </row>
    <row r="2" spans="1:7" ht="12.75">
      <c r="A2" s="25" t="s">
        <v>52</v>
      </c>
      <c r="B2" s="26" t="s">
        <v>53</v>
      </c>
      <c r="C2" s="25" t="s">
        <v>54</v>
      </c>
      <c r="D2" s="260" t="s">
        <v>438</v>
      </c>
      <c r="E2" s="27" t="s">
        <v>55</v>
      </c>
      <c r="F2" s="27" t="s">
        <v>56</v>
      </c>
      <c r="G2" s="27" t="s">
        <v>57</v>
      </c>
    </row>
    <row r="3" spans="1:7" ht="12.75">
      <c r="A3" s="28">
        <v>600</v>
      </c>
      <c r="B3" s="29" t="s">
        <v>58</v>
      </c>
      <c r="C3" s="28">
        <v>1300</v>
      </c>
      <c r="D3" s="261">
        <v>127</v>
      </c>
      <c r="E3" s="30">
        <v>0</v>
      </c>
      <c r="F3" s="28">
        <v>0</v>
      </c>
      <c r="G3" s="28">
        <v>0</v>
      </c>
    </row>
    <row r="4" spans="1:7" ht="12.75">
      <c r="A4" s="28">
        <v>603</v>
      </c>
      <c r="B4" s="29" t="s">
        <v>59</v>
      </c>
      <c r="C4" s="28">
        <v>3146</v>
      </c>
      <c r="D4" s="261">
        <v>0</v>
      </c>
      <c r="E4" s="30">
        <v>0</v>
      </c>
      <c r="F4" s="28">
        <v>0</v>
      </c>
      <c r="G4" s="28">
        <v>0</v>
      </c>
    </row>
    <row r="5" spans="1:7" ht="12.75">
      <c r="A5" s="28">
        <v>604</v>
      </c>
      <c r="B5" s="29" t="s">
        <v>60</v>
      </c>
      <c r="C5" s="28">
        <v>3146</v>
      </c>
      <c r="D5" s="261">
        <v>0</v>
      </c>
      <c r="E5" s="30">
        <v>0</v>
      </c>
      <c r="F5" s="28">
        <v>0</v>
      </c>
      <c r="G5" s="28">
        <v>0</v>
      </c>
    </row>
    <row r="6" spans="1:7" ht="12.75">
      <c r="A6" s="28">
        <v>605</v>
      </c>
      <c r="B6" s="29" t="s">
        <v>61</v>
      </c>
      <c r="C6" s="28">
        <v>2913</v>
      </c>
      <c r="D6" s="261">
        <v>0</v>
      </c>
      <c r="E6" s="30">
        <v>0</v>
      </c>
      <c r="F6" s="28">
        <v>0</v>
      </c>
      <c r="G6" s="28">
        <v>0</v>
      </c>
    </row>
    <row r="7" spans="1:7" ht="12.75">
      <c r="A7" s="28">
        <v>606</v>
      </c>
      <c r="B7" s="29" t="s">
        <v>62</v>
      </c>
      <c r="C7" s="28">
        <v>2913</v>
      </c>
      <c r="D7" s="261">
        <v>0</v>
      </c>
      <c r="E7" s="30">
        <v>0</v>
      </c>
      <c r="F7" s="28">
        <v>0</v>
      </c>
      <c r="G7" s="28">
        <v>0</v>
      </c>
    </row>
    <row r="8" spans="1:7" ht="12.75">
      <c r="A8" s="28">
        <v>608</v>
      </c>
      <c r="B8" s="29" t="s">
        <v>63</v>
      </c>
      <c r="C8" s="28">
        <v>2913</v>
      </c>
      <c r="D8" s="261">
        <v>0</v>
      </c>
      <c r="E8" s="30">
        <v>0</v>
      </c>
      <c r="F8" s="28">
        <v>0</v>
      </c>
      <c r="G8" s="28">
        <v>0</v>
      </c>
    </row>
    <row r="9" spans="1:7" ht="12.75">
      <c r="A9" s="28">
        <v>609</v>
      </c>
      <c r="B9" s="29" t="s">
        <v>64</v>
      </c>
      <c r="C9" s="28">
        <v>2000</v>
      </c>
      <c r="D9" s="261">
        <v>36</v>
      </c>
      <c r="E9" s="30">
        <v>0</v>
      </c>
      <c r="F9" s="28">
        <v>0</v>
      </c>
      <c r="G9" s="28">
        <v>0</v>
      </c>
    </row>
    <row r="10" spans="1:7" ht="12.75">
      <c r="A10" s="28">
        <v>611</v>
      </c>
      <c r="B10" s="29" t="s">
        <v>65</v>
      </c>
      <c r="C10" s="28">
        <v>1840</v>
      </c>
      <c r="D10" s="261">
        <v>57</v>
      </c>
      <c r="E10" s="30">
        <v>0</v>
      </c>
      <c r="F10" s="28">
        <v>0</v>
      </c>
      <c r="G10" s="28">
        <v>0</v>
      </c>
    </row>
    <row r="11" spans="1:7" ht="12.75">
      <c r="A11" s="28">
        <v>612</v>
      </c>
      <c r="B11" s="29" t="s">
        <v>66</v>
      </c>
      <c r="C11" s="28">
        <v>1690</v>
      </c>
      <c r="D11" s="261">
        <v>76</v>
      </c>
      <c r="E11" s="30">
        <v>0</v>
      </c>
      <c r="F11" s="28">
        <v>0</v>
      </c>
      <c r="G11" s="28">
        <v>0</v>
      </c>
    </row>
    <row r="12" spans="1:7" ht="12.75">
      <c r="A12" s="28">
        <v>613</v>
      </c>
      <c r="B12" s="29" t="s">
        <v>67</v>
      </c>
      <c r="C12" s="28">
        <v>1680</v>
      </c>
      <c r="D12" s="261">
        <v>77</v>
      </c>
      <c r="E12" s="30">
        <v>0</v>
      </c>
      <c r="F12" s="28">
        <v>0</v>
      </c>
      <c r="G12" s="28">
        <v>0</v>
      </c>
    </row>
    <row r="13" spans="1:7" ht="12.75">
      <c r="A13" s="28">
        <v>614</v>
      </c>
      <c r="B13" s="29" t="s">
        <v>68</v>
      </c>
      <c r="C13" s="28">
        <v>1740</v>
      </c>
      <c r="D13" s="261">
        <v>70</v>
      </c>
      <c r="E13" s="30">
        <v>0</v>
      </c>
      <c r="F13" s="28">
        <v>0</v>
      </c>
      <c r="G13" s="28">
        <v>0</v>
      </c>
    </row>
    <row r="14" spans="1:7" ht="12.75">
      <c r="A14" s="28">
        <v>615</v>
      </c>
      <c r="B14" s="29" t="s">
        <v>69</v>
      </c>
      <c r="C14" s="28">
        <v>1610</v>
      </c>
      <c r="D14" s="261">
        <v>87</v>
      </c>
      <c r="E14" s="30">
        <v>0</v>
      </c>
      <c r="F14" s="28">
        <v>0</v>
      </c>
      <c r="G14" s="28">
        <v>0</v>
      </c>
    </row>
    <row r="15" spans="1:7" ht="12.75">
      <c r="A15" s="28">
        <v>616</v>
      </c>
      <c r="B15" s="29" t="s">
        <v>70</v>
      </c>
      <c r="C15" s="28">
        <v>1740</v>
      </c>
      <c r="D15" s="261">
        <v>70</v>
      </c>
      <c r="E15" s="30">
        <v>0</v>
      </c>
      <c r="F15" s="28">
        <v>0</v>
      </c>
      <c r="G15" s="28">
        <v>0</v>
      </c>
    </row>
    <row r="16" spans="1:7" ht="12.75">
      <c r="A16" s="28">
        <v>617</v>
      </c>
      <c r="B16" s="29" t="s">
        <v>71</v>
      </c>
      <c r="C16" s="28">
        <v>1610</v>
      </c>
      <c r="D16" s="261">
        <v>87</v>
      </c>
      <c r="E16" s="30">
        <v>0</v>
      </c>
      <c r="F16" s="28">
        <v>0</v>
      </c>
      <c r="G16" s="28">
        <v>0</v>
      </c>
    </row>
    <row r="17" spans="1:7" ht="12.75">
      <c r="A17" s="28">
        <v>618</v>
      </c>
      <c r="B17" s="29" t="s">
        <v>72</v>
      </c>
      <c r="C17" s="28">
        <v>1500</v>
      </c>
      <c r="D17" s="261">
        <v>101</v>
      </c>
      <c r="E17" s="30">
        <v>0</v>
      </c>
      <c r="F17" s="28">
        <v>0</v>
      </c>
      <c r="G17" s="28">
        <v>0</v>
      </c>
    </row>
    <row r="18" spans="1:7" ht="12.75">
      <c r="A18" s="28">
        <v>619</v>
      </c>
      <c r="B18" s="29" t="s">
        <v>73</v>
      </c>
      <c r="C18" s="28">
        <v>1320</v>
      </c>
      <c r="D18" s="261">
        <v>124</v>
      </c>
      <c r="E18" s="30">
        <v>0</v>
      </c>
      <c r="F18" s="28">
        <v>0</v>
      </c>
      <c r="G18" s="28">
        <v>0</v>
      </c>
    </row>
    <row r="19" spans="1:7" ht="12.75">
      <c r="A19" s="28">
        <v>620</v>
      </c>
      <c r="B19" s="29" t="s">
        <v>74</v>
      </c>
      <c r="C19" s="28">
        <v>1550</v>
      </c>
      <c r="D19" s="261">
        <v>94</v>
      </c>
      <c r="E19" s="30">
        <v>0</v>
      </c>
      <c r="F19" s="28">
        <v>0</v>
      </c>
      <c r="G19" s="28">
        <v>0</v>
      </c>
    </row>
    <row r="20" spans="1:7" ht="12.75">
      <c r="A20" s="28">
        <v>621</v>
      </c>
      <c r="B20" s="29" t="s">
        <v>75</v>
      </c>
      <c r="C20" s="28">
        <v>1340</v>
      </c>
      <c r="D20" s="261">
        <v>122</v>
      </c>
      <c r="E20" s="30">
        <v>0</v>
      </c>
      <c r="F20" s="28">
        <v>0</v>
      </c>
      <c r="G20" s="28">
        <v>0</v>
      </c>
    </row>
    <row r="21" spans="1:7" ht="12.75">
      <c r="A21" s="28">
        <v>622</v>
      </c>
      <c r="B21" s="29" t="s">
        <v>76</v>
      </c>
      <c r="C21" s="28">
        <v>971</v>
      </c>
      <c r="D21" s="261">
        <v>170</v>
      </c>
      <c r="E21" s="30">
        <v>0</v>
      </c>
      <c r="F21" s="28">
        <v>0</v>
      </c>
      <c r="G21" s="28">
        <v>0</v>
      </c>
    </row>
    <row r="22" spans="1:7" ht="12.75">
      <c r="A22" s="28">
        <v>623</v>
      </c>
      <c r="B22" s="29" t="s">
        <v>77</v>
      </c>
      <c r="C22" s="28">
        <v>1690</v>
      </c>
      <c r="D22" s="261">
        <v>76</v>
      </c>
      <c r="E22" s="30">
        <v>0</v>
      </c>
      <c r="F22" s="28">
        <v>0</v>
      </c>
      <c r="G22" s="28">
        <v>0</v>
      </c>
    </row>
    <row r="23" spans="1:7" ht="12.75">
      <c r="A23" s="28">
        <v>624</v>
      </c>
      <c r="B23" s="29" t="s">
        <v>78</v>
      </c>
      <c r="C23" s="28">
        <v>1400</v>
      </c>
      <c r="D23" s="261">
        <v>114</v>
      </c>
      <c r="E23" s="30">
        <v>0</v>
      </c>
      <c r="F23" s="28">
        <v>0</v>
      </c>
      <c r="G23" s="28">
        <v>0</v>
      </c>
    </row>
    <row r="24" spans="1:7" ht="12.75">
      <c r="A24" s="28">
        <v>625</v>
      </c>
      <c r="B24" s="29" t="s">
        <v>79</v>
      </c>
      <c r="C24" s="28">
        <v>1370</v>
      </c>
      <c r="D24" s="261">
        <v>118</v>
      </c>
      <c r="E24" s="30">
        <v>0</v>
      </c>
      <c r="F24" s="28">
        <v>0</v>
      </c>
      <c r="G24" s="28">
        <v>0</v>
      </c>
    </row>
    <row r="25" spans="1:7" ht="12.75">
      <c r="A25" s="28">
        <v>626</v>
      </c>
      <c r="B25" s="29" t="s">
        <v>80</v>
      </c>
      <c r="C25" s="28">
        <v>1340</v>
      </c>
      <c r="D25" s="261">
        <v>122</v>
      </c>
      <c r="E25" s="30">
        <v>0</v>
      </c>
      <c r="F25" s="28">
        <v>0</v>
      </c>
      <c r="G25" s="28">
        <v>0</v>
      </c>
    </row>
    <row r="26" spans="1:7" ht="12.75">
      <c r="A26" s="28">
        <v>627</v>
      </c>
      <c r="B26" s="29" t="s">
        <v>81</v>
      </c>
      <c r="C26" s="28">
        <v>1300</v>
      </c>
      <c r="D26" s="261">
        <v>127</v>
      </c>
      <c r="E26" s="30">
        <v>0</v>
      </c>
      <c r="F26" s="28">
        <v>0</v>
      </c>
      <c r="G26" s="28">
        <v>0</v>
      </c>
    </row>
    <row r="27" spans="1:7" ht="12.75">
      <c r="A27" s="28">
        <v>628</v>
      </c>
      <c r="B27" s="29" t="s">
        <v>82</v>
      </c>
      <c r="C27" s="28">
        <v>980</v>
      </c>
      <c r="D27" s="261">
        <v>169</v>
      </c>
      <c r="E27" s="30">
        <v>0</v>
      </c>
      <c r="F27" s="28">
        <v>0</v>
      </c>
      <c r="G27" s="28">
        <v>0</v>
      </c>
    </row>
    <row r="28" spans="1:7" ht="12.75">
      <c r="A28" s="28">
        <v>629</v>
      </c>
      <c r="B28" s="29" t="s">
        <v>83</v>
      </c>
      <c r="C28" s="28">
        <v>941</v>
      </c>
      <c r="D28" s="261">
        <v>174</v>
      </c>
      <c r="E28" s="30">
        <v>0</v>
      </c>
      <c r="F28" s="28">
        <v>0</v>
      </c>
      <c r="G28" s="28">
        <v>0</v>
      </c>
    </row>
    <row r="29" spans="1:7" ht="12.75">
      <c r="A29" s="28">
        <v>630</v>
      </c>
      <c r="B29" s="29" t="s">
        <v>84</v>
      </c>
      <c r="C29" s="28">
        <v>1170</v>
      </c>
      <c r="D29" s="261">
        <v>144</v>
      </c>
      <c r="E29" s="30">
        <v>0</v>
      </c>
      <c r="F29" s="28">
        <v>0</v>
      </c>
      <c r="G29" s="28">
        <v>0</v>
      </c>
    </row>
    <row r="30" spans="1:7" ht="12.75">
      <c r="A30" s="28">
        <v>631</v>
      </c>
      <c r="B30" s="29" t="s">
        <v>85</v>
      </c>
      <c r="C30" s="28">
        <v>1170</v>
      </c>
      <c r="D30" s="261">
        <v>144</v>
      </c>
      <c r="E30" s="30">
        <v>0</v>
      </c>
      <c r="F30" s="28">
        <v>0</v>
      </c>
      <c r="G30" s="28">
        <v>0</v>
      </c>
    </row>
    <row r="31" spans="1:7" ht="12.75">
      <c r="A31" s="28">
        <v>632</v>
      </c>
      <c r="B31" s="29" t="s">
        <v>86</v>
      </c>
      <c r="C31" s="28">
        <v>941</v>
      </c>
      <c r="D31" s="261">
        <v>174</v>
      </c>
      <c r="E31" s="30">
        <v>0</v>
      </c>
      <c r="F31" s="28">
        <v>0</v>
      </c>
      <c r="G31" s="28">
        <v>0</v>
      </c>
    </row>
    <row r="32" spans="1:7" ht="12.75">
      <c r="A32" s="28">
        <v>633</v>
      </c>
      <c r="B32" s="29" t="s">
        <v>87</v>
      </c>
      <c r="C32" s="28">
        <v>941</v>
      </c>
      <c r="D32" s="261">
        <v>174</v>
      </c>
      <c r="E32" s="30">
        <v>0</v>
      </c>
      <c r="F32" s="28">
        <v>0</v>
      </c>
      <c r="G32" s="28">
        <v>0</v>
      </c>
    </row>
    <row r="33" spans="1:7" ht="12.75">
      <c r="A33" s="28">
        <v>634</v>
      </c>
      <c r="B33" s="29" t="s">
        <v>88</v>
      </c>
      <c r="C33" s="28">
        <v>971</v>
      </c>
      <c r="D33" s="261">
        <v>170</v>
      </c>
      <c r="E33" s="30">
        <v>0</v>
      </c>
      <c r="F33" s="28">
        <v>0</v>
      </c>
      <c r="G33" s="28">
        <v>0</v>
      </c>
    </row>
    <row r="34" spans="1:7" ht="12.75">
      <c r="A34" s="28">
        <v>636</v>
      </c>
      <c r="B34" s="29" t="s">
        <v>89</v>
      </c>
      <c r="C34" s="28">
        <v>971</v>
      </c>
      <c r="D34" s="261">
        <v>170</v>
      </c>
      <c r="E34" s="30">
        <v>0</v>
      </c>
      <c r="F34" s="28">
        <v>0</v>
      </c>
      <c r="G34" s="28">
        <v>0</v>
      </c>
    </row>
    <row r="35" spans="1:7" ht="12.75">
      <c r="A35" s="28">
        <v>637</v>
      </c>
      <c r="B35" s="29" t="s">
        <v>90</v>
      </c>
      <c r="C35" s="28">
        <v>971</v>
      </c>
      <c r="D35" s="261">
        <v>170</v>
      </c>
      <c r="E35" s="30">
        <v>0</v>
      </c>
      <c r="F35" s="28">
        <v>0</v>
      </c>
      <c r="G35" s="28">
        <v>0</v>
      </c>
    </row>
    <row r="36" spans="1:7" ht="12.75">
      <c r="A36" s="28">
        <v>638</v>
      </c>
      <c r="B36" s="29" t="s">
        <v>91</v>
      </c>
      <c r="C36" s="28">
        <v>906</v>
      </c>
      <c r="D36" s="261">
        <v>178</v>
      </c>
      <c r="E36" s="30">
        <v>0</v>
      </c>
      <c r="F36" s="28">
        <v>0</v>
      </c>
      <c r="G36" s="28">
        <v>0</v>
      </c>
    </row>
    <row r="37" spans="1:7" ht="12.75">
      <c r="A37" s="28">
        <v>639</v>
      </c>
      <c r="B37" s="29" t="s">
        <v>92</v>
      </c>
      <c r="C37" s="28">
        <v>1300</v>
      </c>
      <c r="D37" s="261">
        <v>127</v>
      </c>
      <c r="E37" s="30">
        <v>0</v>
      </c>
      <c r="F37" s="28">
        <v>0</v>
      </c>
      <c r="G37" s="28">
        <v>0</v>
      </c>
    </row>
    <row r="38" spans="1:7" ht="12.75">
      <c r="A38" s="28">
        <v>640</v>
      </c>
      <c r="B38" s="29" t="s">
        <v>93</v>
      </c>
      <c r="C38" s="28">
        <v>2830</v>
      </c>
      <c r="D38" s="261">
        <v>0</v>
      </c>
      <c r="E38" s="30">
        <v>0</v>
      </c>
      <c r="F38" s="28">
        <v>0</v>
      </c>
      <c r="G38" s="28">
        <v>0</v>
      </c>
    </row>
    <row r="39" spans="1:7" ht="12.75">
      <c r="A39" s="28">
        <v>641</v>
      </c>
      <c r="B39" s="29" t="s">
        <v>94</v>
      </c>
      <c r="C39" s="28">
        <v>1550</v>
      </c>
      <c r="D39" s="261">
        <v>94</v>
      </c>
      <c r="E39" s="30">
        <v>0</v>
      </c>
      <c r="F39" s="28">
        <v>0</v>
      </c>
      <c r="G39" s="28">
        <v>0</v>
      </c>
    </row>
    <row r="40" spans="1:7" ht="12.75">
      <c r="A40" s="28">
        <v>642</v>
      </c>
      <c r="B40" s="29" t="s">
        <v>95</v>
      </c>
      <c r="C40" s="28">
        <v>1170</v>
      </c>
      <c r="D40" s="261">
        <v>144</v>
      </c>
      <c r="E40" s="30">
        <v>0</v>
      </c>
      <c r="F40" s="28">
        <v>0</v>
      </c>
      <c r="G40" s="28">
        <v>0</v>
      </c>
    </row>
    <row r="41" spans="1:7" ht="12.75">
      <c r="A41" s="28">
        <v>643</v>
      </c>
      <c r="B41" s="29" t="s">
        <v>96</v>
      </c>
      <c r="C41" s="28">
        <v>1500</v>
      </c>
      <c r="D41" s="261">
        <v>101</v>
      </c>
      <c r="E41" s="30">
        <v>0</v>
      </c>
      <c r="F41" s="28">
        <v>0</v>
      </c>
      <c r="G41" s="28">
        <v>0</v>
      </c>
    </row>
    <row r="42" spans="1:7" ht="12.75">
      <c r="A42" s="28">
        <v>644</v>
      </c>
      <c r="B42" s="29" t="s">
        <v>97</v>
      </c>
      <c r="C42" s="28">
        <v>2490</v>
      </c>
      <c r="D42" s="261">
        <v>0</v>
      </c>
      <c r="E42" s="30">
        <v>0</v>
      </c>
      <c r="F42" s="28">
        <v>0</v>
      </c>
      <c r="G42" s="28">
        <v>0</v>
      </c>
    </row>
    <row r="43" spans="1:7" ht="12.75">
      <c r="A43" s="28">
        <v>645</v>
      </c>
      <c r="B43" s="29" t="s">
        <v>98</v>
      </c>
      <c r="C43" s="28">
        <v>2329</v>
      </c>
      <c r="D43" s="261">
        <v>0</v>
      </c>
      <c r="E43" s="30">
        <v>0</v>
      </c>
      <c r="F43" s="28">
        <v>0</v>
      </c>
      <c r="G43" s="28">
        <v>0</v>
      </c>
    </row>
    <row r="44" spans="1:7" ht="12.75">
      <c r="A44" s="28">
        <v>646</v>
      </c>
      <c r="B44" s="29" t="s">
        <v>99</v>
      </c>
      <c r="C44" s="28">
        <v>906</v>
      </c>
      <c r="D44" s="261">
        <v>178</v>
      </c>
      <c r="E44" s="30">
        <v>0</v>
      </c>
      <c r="F44" s="28">
        <v>0</v>
      </c>
      <c r="G44" s="28">
        <v>0</v>
      </c>
    </row>
    <row r="45" spans="1:7" ht="12.75">
      <c r="A45" s="28">
        <v>647</v>
      </c>
      <c r="B45" s="29" t="s">
        <v>100</v>
      </c>
      <c r="C45" s="28">
        <v>1830</v>
      </c>
      <c r="D45" s="261">
        <v>58</v>
      </c>
      <c r="E45" s="30">
        <v>0</v>
      </c>
      <c r="F45" s="28">
        <v>0</v>
      </c>
      <c r="G45" s="28">
        <v>0</v>
      </c>
    </row>
    <row r="46" spans="1:7" ht="12.75">
      <c r="A46" s="28">
        <v>648</v>
      </c>
      <c r="B46" s="29" t="s">
        <v>101</v>
      </c>
      <c r="C46" s="28">
        <v>1740</v>
      </c>
      <c r="D46" s="261">
        <v>70</v>
      </c>
      <c r="E46" s="30">
        <v>0</v>
      </c>
      <c r="F46" s="28">
        <v>0</v>
      </c>
      <c r="G46" s="28">
        <v>0</v>
      </c>
    </row>
    <row r="47" spans="1:7" ht="12.75">
      <c r="A47" s="28">
        <v>649</v>
      </c>
      <c r="B47" s="29" t="s">
        <v>102</v>
      </c>
      <c r="C47" s="28">
        <v>971</v>
      </c>
      <c r="D47" s="261">
        <v>170</v>
      </c>
      <c r="E47" s="30">
        <v>0</v>
      </c>
      <c r="F47" s="28">
        <v>0</v>
      </c>
      <c r="G47" s="28">
        <v>0</v>
      </c>
    </row>
    <row r="48" spans="1:7" ht="12.75">
      <c r="A48" s="28">
        <v>650</v>
      </c>
      <c r="B48" s="29" t="s">
        <v>103</v>
      </c>
      <c r="C48" s="28">
        <v>1740</v>
      </c>
      <c r="D48" s="261">
        <v>70</v>
      </c>
      <c r="E48" s="30">
        <v>0</v>
      </c>
      <c r="F48" s="28">
        <v>750</v>
      </c>
      <c r="G48" s="28">
        <v>0</v>
      </c>
    </row>
    <row r="49" spans="1:7" ht="12.75">
      <c r="A49" s="28">
        <v>651</v>
      </c>
      <c r="B49" s="29" t="s">
        <v>104</v>
      </c>
      <c r="C49" s="28">
        <v>971</v>
      </c>
      <c r="D49" s="261">
        <v>170</v>
      </c>
      <c r="E49" s="30">
        <v>0</v>
      </c>
      <c r="F49" s="28">
        <v>0</v>
      </c>
      <c r="G49" s="28">
        <v>0</v>
      </c>
    </row>
    <row r="50" spans="1:7" ht="12.75">
      <c r="A50" s="28">
        <v>652</v>
      </c>
      <c r="B50" s="29" t="s">
        <v>105</v>
      </c>
      <c r="C50" s="28">
        <v>1250</v>
      </c>
      <c r="D50" s="261">
        <v>134</v>
      </c>
      <c r="E50" s="30">
        <v>0</v>
      </c>
      <c r="F50" s="28">
        <v>0</v>
      </c>
      <c r="G50" s="28">
        <v>0</v>
      </c>
    </row>
    <row r="51" spans="1:7" ht="12.75">
      <c r="A51" s="28">
        <v>653</v>
      </c>
      <c r="B51" s="29" t="s">
        <v>106</v>
      </c>
      <c r="C51" s="28">
        <v>1400</v>
      </c>
      <c r="D51" s="261">
        <v>114</v>
      </c>
      <c r="E51" s="30">
        <v>0</v>
      </c>
      <c r="F51" s="28">
        <v>100</v>
      </c>
      <c r="G51" s="28">
        <v>0</v>
      </c>
    </row>
    <row r="52" spans="1:7" ht="12.75">
      <c r="A52" s="28">
        <v>654</v>
      </c>
      <c r="B52" s="29" t="s">
        <v>107</v>
      </c>
      <c r="C52" s="28">
        <v>1690</v>
      </c>
      <c r="D52" s="261">
        <v>76</v>
      </c>
      <c r="E52" s="30">
        <v>0</v>
      </c>
      <c r="F52" s="28">
        <v>300</v>
      </c>
      <c r="G52" s="28">
        <v>0</v>
      </c>
    </row>
    <row r="53" spans="1:7" ht="12.75">
      <c r="A53" s="28">
        <v>655</v>
      </c>
      <c r="B53" s="29" t="s">
        <v>108</v>
      </c>
      <c r="C53" s="28">
        <v>1550</v>
      </c>
      <c r="D53" s="261">
        <v>94</v>
      </c>
      <c r="E53" s="30">
        <v>0</v>
      </c>
      <c r="F53" s="28">
        <v>200</v>
      </c>
      <c r="G53" s="28">
        <v>0</v>
      </c>
    </row>
    <row r="54" spans="1:7" ht="12.75">
      <c r="A54" s="28">
        <v>657</v>
      </c>
      <c r="B54" s="29" t="s">
        <v>109</v>
      </c>
      <c r="C54" s="28">
        <v>1340</v>
      </c>
      <c r="D54" s="261">
        <v>122</v>
      </c>
      <c r="E54" s="30">
        <v>0</v>
      </c>
      <c r="F54" s="28">
        <v>0</v>
      </c>
      <c r="G54" s="28">
        <v>0</v>
      </c>
    </row>
    <row r="55" spans="1:7" ht="12.75">
      <c r="A55" s="28">
        <v>658</v>
      </c>
      <c r="B55" s="29" t="s">
        <v>110</v>
      </c>
      <c r="C55" s="28">
        <v>1300</v>
      </c>
      <c r="D55" s="261">
        <v>127</v>
      </c>
      <c r="E55" s="30">
        <v>0</v>
      </c>
      <c r="F55" s="28">
        <v>0</v>
      </c>
      <c r="G55" s="28">
        <v>0</v>
      </c>
    </row>
    <row r="56" spans="1:7" ht="12.75">
      <c r="A56" s="28">
        <v>659</v>
      </c>
      <c r="B56" s="29" t="s">
        <v>111</v>
      </c>
      <c r="C56" s="28">
        <v>1340</v>
      </c>
      <c r="D56" s="261">
        <v>122</v>
      </c>
      <c r="E56" s="30">
        <v>0</v>
      </c>
      <c r="F56" s="28">
        <v>0</v>
      </c>
      <c r="G56" s="28">
        <v>0</v>
      </c>
    </row>
    <row r="57" spans="1:7" ht="12.75">
      <c r="A57" s="28">
        <v>660</v>
      </c>
      <c r="B57" s="29" t="s">
        <v>112</v>
      </c>
      <c r="C57" s="28">
        <v>1300</v>
      </c>
      <c r="D57" s="261">
        <v>127</v>
      </c>
      <c r="E57" s="30">
        <v>0</v>
      </c>
      <c r="F57" s="28">
        <v>0</v>
      </c>
      <c r="G57" s="28">
        <v>0</v>
      </c>
    </row>
    <row r="58" spans="1:7" ht="12.75">
      <c r="A58" s="28">
        <v>661</v>
      </c>
      <c r="B58" s="29" t="s">
        <v>113</v>
      </c>
      <c r="C58" s="28">
        <v>1300</v>
      </c>
      <c r="D58" s="261">
        <v>127</v>
      </c>
      <c r="E58" s="30">
        <v>0</v>
      </c>
      <c r="F58" s="28">
        <v>0</v>
      </c>
      <c r="G58" s="28">
        <v>0</v>
      </c>
    </row>
    <row r="59" spans="1:7" ht="12.75">
      <c r="A59" s="28">
        <v>662</v>
      </c>
      <c r="B59" s="29" t="s">
        <v>114</v>
      </c>
      <c r="C59" s="28">
        <v>1690</v>
      </c>
      <c r="D59" s="261">
        <v>76</v>
      </c>
      <c r="E59" s="30">
        <v>0</v>
      </c>
      <c r="F59" s="28">
        <v>708</v>
      </c>
      <c r="G59" s="28">
        <v>0</v>
      </c>
    </row>
    <row r="60" spans="1:7" ht="12.75">
      <c r="A60" s="28">
        <v>663</v>
      </c>
      <c r="B60" s="29" t="s">
        <v>115</v>
      </c>
      <c r="C60" s="28">
        <v>1500</v>
      </c>
      <c r="D60" s="261">
        <v>101</v>
      </c>
      <c r="E60" s="30">
        <v>0</v>
      </c>
      <c r="F60" s="28">
        <v>0</v>
      </c>
      <c r="G60" s="28">
        <v>0</v>
      </c>
    </row>
    <row r="61" spans="1:7" ht="12.75">
      <c r="A61" s="28">
        <v>664</v>
      </c>
      <c r="B61" s="29" t="s">
        <v>116</v>
      </c>
      <c r="C61" s="28">
        <v>971</v>
      </c>
      <c r="D61" s="261">
        <v>170</v>
      </c>
      <c r="E61" s="30">
        <v>0</v>
      </c>
      <c r="F61" s="28">
        <v>620</v>
      </c>
      <c r="G61" s="28">
        <v>0</v>
      </c>
    </row>
    <row r="62" spans="1:7" ht="12.75">
      <c r="A62" s="28">
        <v>667</v>
      </c>
      <c r="B62" s="29" t="s">
        <v>117</v>
      </c>
      <c r="C62" s="28">
        <v>2000</v>
      </c>
      <c r="D62" s="261">
        <v>36</v>
      </c>
      <c r="E62" s="30">
        <v>0</v>
      </c>
      <c r="F62" s="28">
        <v>830</v>
      </c>
      <c r="G62" s="28">
        <v>0</v>
      </c>
    </row>
    <row r="63" spans="1:7" ht="12.75">
      <c r="A63" s="28">
        <v>668</v>
      </c>
      <c r="B63" s="29" t="s">
        <v>118</v>
      </c>
      <c r="C63" s="28">
        <v>1840</v>
      </c>
      <c r="D63" s="261">
        <v>57</v>
      </c>
      <c r="E63" s="30">
        <v>0</v>
      </c>
      <c r="F63" s="28">
        <v>830</v>
      </c>
      <c r="G63" s="28">
        <v>0</v>
      </c>
    </row>
    <row r="64" spans="1:7" ht="12.75">
      <c r="A64" s="28">
        <v>669</v>
      </c>
      <c r="B64" s="29" t="s">
        <v>119</v>
      </c>
      <c r="C64" s="28">
        <v>1680</v>
      </c>
      <c r="D64" s="261">
        <v>77</v>
      </c>
      <c r="E64" s="30">
        <v>0</v>
      </c>
      <c r="F64" s="28">
        <v>830</v>
      </c>
      <c r="G64" s="28">
        <v>0</v>
      </c>
    </row>
    <row r="65" spans="1:7" ht="12.75">
      <c r="A65" s="28">
        <v>670</v>
      </c>
      <c r="B65" s="29" t="s">
        <v>120</v>
      </c>
      <c r="C65" s="28">
        <v>1740</v>
      </c>
      <c r="D65" s="261">
        <v>70</v>
      </c>
      <c r="E65" s="30">
        <v>0</v>
      </c>
      <c r="F65" s="28">
        <v>750</v>
      </c>
      <c r="G65" s="28">
        <v>0</v>
      </c>
    </row>
    <row r="66" spans="1:7" ht="12.75">
      <c r="A66" s="28">
        <v>671</v>
      </c>
      <c r="B66" s="29" t="s">
        <v>121</v>
      </c>
      <c r="C66" s="28">
        <v>1610</v>
      </c>
      <c r="D66" s="261">
        <v>87</v>
      </c>
      <c r="E66" s="30">
        <v>0</v>
      </c>
      <c r="F66" s="28">
        <v>750</v>
      </c>
      <c r="G66" s="28">
        <v>0</v>
      </c>
    </row>
    <row r="67" spans="1:7" ht="12.75">
      <c r="A67" s="28">
        <v>672</v>
      </c>
      <c r="B67" s="29" t="s">
        <v>122</v>
      </c>
      <c r="C67" s="28">
        <v>2000</v>
      </c>
      <c r="D67" s="261">
        <v>36</v>
      </c>
      <c r="E67" s="30">
        <v>0</v>
      </c>
      <c r="F67" s="28">
        <v>300</v>
      </c>
      <c r="G67" s="28">
        <v>0</v>
      </c>
    </row>
    <row r="68" spans="1:7" ht="12.75">
      <c r="A68" s="28">
        <v>673</v>
      </c>
      <c r="B68" s="29" t="s">
        <v>123</v>
      </c>
      <c r="C68" s="28">
        <v>1840</v>
      </c>
      <c r="D68" s="261">
        <v>57</v>
      </c>
      <c r="E68" s="30">
        <v>0</v>
      </c>
      <c r="F68" s="28">
        <v>300</v>
      </c>
      <c r="G68" s="28">
        <v>0</v>
      </c>
    </row>
    <row r="69" spans="1:7" ht="12.75">
      <c r="A69" s="28">
        <v>674</v>
      </c>
      <c r="B69" s="29" t="s">
        <v>124</v>
      </c>
      <c r="C69" s="28">
        <v>1680</v>
      </c>
      <c r="D69" s="261">
        <v>77</v>
      </c>
      <c r="E69" s="30">
        <v>0</v>
      </c>
      <c r="F69" s="28">
        <v>300</v>
      </c>
      <c r="G69" s="28">
        <v>0</v>
      </c>
    </row>
    <row r="70" spans="1:7" ht="12.75">
      <c r="A70" s="28">
        <v>675</v>
      </c>
      <c r="B70" s="29" t="s">
        <v>125</v>
      </c>
      <c r="C70" s="28">
        <v>1740</v>
      </c>
      <c r="D70" s="261">
        <v>70</v>
      </c>
      <c r="E70" s="30">
        <v>0</v>
      </c>
      <c r="F70" s="28">
        <v>725</v>
      </c>
      <c r="G70" s="28">
        <v>0</v>
      </c>
    </row>
    <row r="71" spans="1:7" ht="12.75">
      <c r="A71" s="28">
        <v>676</v>
      </c>
      <c r="B71" s="29" t="s">
        <v>126</v>
      </c>
      <c r="C71" s="28">
        <v>1610</v>
      </c>
      <c r="D71" s="261">
        <v>87</v>
      </c>
      <c r="E71" s="30">
        <v>0</v>
      </c>
      <c r="F71" s="28">
        <v>725</v>
      </c>
      <c r="G71" s="28">
        <v>0</v>
      </c>
    </row>
    <row r="72" spans="1:7" ht="12.75">
      <c r="A72" s="28">
        <v>677</v>
      </c>
      <c r="B72" s="29" t="s">
        <v>127</v>
      </c>
      <c r="C72" s="28">
        <v>1500</v>
      </c>
      <c r="D72" s="261">
        <v>101</v>
      </c>
      <c r="E72" s="30">
        <v>0</v>
      </c>
      <c r="F72" s="28">
        <v>725</v>
      </c>
      <c r="G72" s="28">
        <v>0</v>
      </c>
    </row>
    <row r="73" spans="1:7" ht="12.75">
      <c r="A73" s="28">
        <v>678</v>
      </c>
      <c r="B73" s="29" t="s">
        <v>128</v>
      </c>
      <c r="C73" s="28">
        <v>1320</v>
      </c>
      <c r="D73" s="261">
        <v>124</v>
      </c>
      <c r="E73" s="30">
        <v>0</v>
      </c>
      <c r="F73" s="28">
        <v>590</v>
      </c>
      <c r="G73" s="28">
        <v>0</v>
      </c>
    </row>
    <row r="74" spans="1:7" ht="12.75">
      <c r="A74" s="28">
        <v>679</v>
      </c>
      <c r="B74" s="29" t="s">
        <v>129</v>
      </c>
      <c r="C74" s="28">
        <v>1690</v>
      </c>
      <c r="D74" s="261">
        <v>76</v>
      </c>
      <c r="E74" s="30">
        <v>0</v>
      </c>
      <c r="F74" s="28">
        <v>708</v>
      </c>
      <c r="G74" s="28">
        <v>0</v>
      </c>
    </row>
    <row r="75" spans="1:7" ht="12.75">
      <c r="A75" s="28">
        <v>680</v>
      </c>
      <c r="B75" s="29" t="s">
        <v>130</v>
      </c>
      <c r="C75" s="28">
        <v>1550</v>
      </c>
      <c r="D75" s="261">
        <v>94</v>
      </c>
      <c r="E75" s="30">
        <v>0</v>
      </c>
      <c r="F75" s="28">
        <v>708</v>
      </c>
      <c r="G75" s="28">
        <v>0</v>
      </c>
    </row>
    <row r="76" spans="1:7" ht="12.75">
      <c r="A76" s="28">
        <v>681</v>
      </c>
      <c r="B76" s="29" t="s">
        <v>131</v>
      </c>
      <c r="C76" s="28">
        <v>1400</v>
      </c>
      <c r="D76" s="261">
        <v>114</v>
      </c>
      <c r="E76" s="30">
        <v>0</v>
      </c>
      <c r="F76" s="28">
        <v>708</v>
      </c>
      <c r="G76" s="28">
        <v>0</v>
      </c>
    </row>
    <row r="77" spans="1:7" ht="12.75">
      <c r="A77" s="28">
        <v>682</v>
      </c>
      <c r="B77" s="31" t="s">
        <v>132</v>
      </c>
      <c r="C77" s="28">
        <v>1170</v>
      </c>
      <c r="D77" s="261">
        <v>144</v>
      </c>
      <c r="E77" s="30">
        <v>0</v>
      </c>
      <c r="F77" s="28">
        <v>580</v>
      </c>
      <c r="G77" s="28">
        <v>0</v>
      </c>
    </row>
    <row r="78" spans="1:7" ht="12.75">
      <c r="A78" s="28">
        <v>683</v>
      </c>
      <c r="B78" s="31" t="s">
        <v>133</v>
      </c>
      <c r="C78" s="28">
        <v>1170</v>
      </c>
      <c r="D78" s="261">
        <v>144</v>
      </c>
      <c r="E78" s="30">
        <v>0</v>
      </c>
      <c r="F78" s="28">
        <v>580</v>
      </c>
      <c r="G78" s="28">
        <v>0</v>
      </c>
    </row>
    <row r="79" spans="1:7" ht="12.75">
      <c r="A79" s="28">
        <v>684</v>
      </c>
      <c r="B79" s="29" t="s">
        <v>134</v>
      </c>
      <c r="C79" s="28">
        <v>1170</v>
      </c>
      <c r="D79" s="261">
        <v>144</v>
      </c>
      <c r="E79" s="30">
        <v>0</v>
      </c>
      <c r="F79" s="28">
        <v>580</v>
      </c>
      <c r="G79" s="28">
        <v>0</v>
      </c>
    </row>
    <row r="80" spans="1:7" ht="12.75">
      <c r="A80" s="28">
        <v>685</v>
      </c>
      <c r="B80" s="29" t="s">
        <v>135</v>
      </c>
      <c r="C80" s="28">
        <v>1500</v>
      </c>
      <c r="D80" s="261">
        <v>101</v>
      </c>
      <c r="E80" s="30">
        <v>0</v>
      </c>
      <c r="F80" s="28">
        <v>750</v>
      </c>
      <c r="G80" s="28">
        <v>0</v>
      </c>
    </row>
    <row r="81" spans="1:7" ht="12.75">
      <c r="A81" s="28">
        <v>686</v>
      </c>
      <c r="B81" s="29" t="s">
        <v>136</v>
      </c>
      <c r="C81" s="28">
        <v>2000</v>
      </c>
      <c r="D81" s="261">
        <v>36</v>
      </c>
      <c r="E81" s="30">
        <v>0</v>
      </c>
      <c r="F81" s="28">
        <v>600</v>
      </c>
      <c r="G81" s="28">
        <v>0</v>
      </c>
    </row>
    <row r="82" spans="1:7" ht="12.75">
      <c r="A82" s="28">
        <v>687</v>
      </c>
      <c r="B82" s="29" t="s">
        <v>137</v>
      </c>
      <c r="C82" s="28">
        <v>1840</v>
      </c>
      <c r="D82" s="261">
        <v>57</v>
      </c>
      <c r="E82" s="30">
        <v>0</v>
      </c>
      <c r="F82" s="28">
        <v>600</v>
      </c>
      <c r="G82" s="28">
        <v>0</v>
      </c>
    </row>
    <row r="83" spans="1:7" ht="12.75">
      <c r="A83" s="28">
        <v>688</v>
      </c>
      <c r="B83" s="29" t="s">
        <v>138</v>
      </c>
      <c r="C83" s="28">
        <v>1680</v>
      </c>
      <c r="D83" s="261">
        <v>77</v>
      </c>
      <c r="E83" s="30">
        <v>0</v>
      </c>
      <c r="F83" s="28">
        <v>600</v>
      </c>
      <c r="G83" s="28">
        <v>0</v>
      </c>
    </row>
    <row r="84" spans="1:7" ht="12.75">
      <c r="A84" s="28">
        <v>689</v>
      </c>
      <c r="B84" s="31" t="s">
        <v>139</v>
      </c>
      <c r="C84" s="28">
        <v>1170</v>
      </c>
      <c r="D84" s="261">
        <v>144</v>
      </c>
      <c r="E84" s="30">
        <v>0</v>
      </c>
      <c r="F84" s="28">
        <v>580</v>
      </c>
      <c r="G84" s="28">
        <v>0</v>
      </c>
    </row>
    <row r="85" spans="1:7" ht="12.75">
      <c r="A85" s="28">
        <v>691</v>
      </c>
      <c r="B85" s="29" t="s">
        <v>140</v>
      </c>
      <c r="C85" s="28">
        <v>1500</v>
      </c>
      <c r="D85" s="261">
        <v>101</v>
      </c>
      <c r="E85" s="30">
        <v>0</v>
      </c>
      <c r="F85" s="28">
        <v>750</v>
      </c>
      <c r="G85" s="28">
        <v>0</v>
      </c>
    </row>
    <row r="86" spans="1:7" ht="12.75">
      <c r="A86" s="28">
        <v>692</v>
      </c>
      <c r="B86" s="29" t="s">
        <v>141</v>
      </c>
      <c r="C86" s="28">
        <v>1690</v>
      </c>
      <c r="D86" s="261">
        <v>76</v>
      </c>
      <c r="E86" s="30">
        <v>0</v>
      </c>
      <c r="F86" s="28">
        <v>620</v>
      </c>
      <c r="G86" s="28">
        <v>0</v>
      </c>
    </row>
    <row r="87" spans="1:7" ht="12.75">
      <c r="A87" s="28">
        <v>693</v>
      </c>
      <c r="B87" s="29" t="s">
        <v>142</v>
      </c>
      <c r="C87" s="28">
        <v>1550</v>
      </c>
      <c r="D87" s="261">
        <v>94</v>
      </c>
      <c r="E87" s="30">
        <v>0</v>
      </c>
      <c r="F87" s="28">
        <v>620</v>
      </c>
      <c r="G87" s="28">
        <v>0</v>
      </c>
    </row>
    <row r="88" spans="1:7" ht="12.75">
      <c r="A88" s="28">
        <v>694</v>
      </c>
      <c r="B88" s="29" t="s">
        <v>143</v>
      </c>
      <c r="C88" s="28">
        <v>1400</v>
      </c>
      <c r="D88" s="261">
        <v>114</v>
      </c>
      <c r="E88" s="30">
        <v>0</v>
      </c>
      <c r="F88" s="28">
        <v>620</v>
      </c>
      <c r="G88" s="28">
        <v>0</v>
      </c>
    </row>
    <row r="89" spans="1:7" ht="12.75">
      <c r="A89" s="28">
        <v>695</v>
      </c>
      <c r="B89" s="29" t="s">
        <v>144</v>
      </c>
      <c r="C89" s="28">
        <v>906</v>
      </c>
      <c r="D89" s="261">
        <v>178</v>
      </c>
      <c r="E89" s="30">
        <v>0</v>
      </c>
      <c r="F89" s="28">
        <v>0</v>
      </c>
      <c r="G89" s="28">
        <v>0</v>
      </c>
    </row>
    <row r="90" spans="1:7" ht="12.75">
      <c r="A90" s="28">
        <v>696</v>
      </c>
      <c r="B90" s="29" t="s">
        <v>145</v>
      </c>
      <c r="C90" s="28">
        <v>1500</v>
      </c>
      <c r="D90" s="261">
        <v>101</v>
      </c>
      <c r="E90" s="30">
        <v>0</v>
      </c>
      <c r="F90" s="28">
        <v>0</v>
      </c>
      <c r="G90" s="28">
        <v>0</v>
      </c>
    </row>
    <row r="91" spans="1:7" ht="12.75">
      <c r="A91" s="28">
        <v>697</v>
      </c>
      <c r="B91" s="29" t="s">
        <v>146</v>
      </c>
      <c r="C91" s="28">
        <v>1500</v>
      </c>
      <c r="D91" s="261">
        <v>101</v>
      </c>
      <c r="E91" s="30">
        <v>0</v>
      </c>
      <c r="F91" s="28">
        <v>0</v>
      </c>
      <c r="G91" s="28">
        <v>0</v>
      </c>
    </row>
    <row r="92" spans="1:7" ht="12.75">
      <c r="A92" s="28">
        <v>698</v>
      </c>
      <c r="B92" s="29" t="s">
        <v>147</v>
      </c>
      <c r="C92" s="28">
        <v>1690</v>
      </c>
      <c r="D92" s="261">
        <v>76</v>
      </c>
      <c r="E92" s="30">
        <v>0</v>
      </c>
      <c r="F92" s="28">
        <v>0</v>
      </c>
      <c r="G92" s="28">
        <v>0</v>
      </c>
    </row>
    <row r="93" spans="1:7" ht="12.75">
      <c r="A93" s="28">
        <v>699</v>
      </c>
      <c r="B93" s="29" t="s">
        <v>148</v>
      </c>
      <c r="C93" s="28">
        <v>1550</v>
      </c>
      <c r="D93" s="261">
        <v>94</v>
      </c>
      <c r="E93" s="30">
        <v>0</v>
      </c>
      <c r="F93" s="28">
        <v>0</v>
      </c>
      <c r="G93" s="28">
        <v>0</v>
      </c>
    </row>
    <row r="94" spans="1:7" ht="12.75">
      <c r="A94" s="28">
        <v>702</v>
      </c>
      <c r="B94" s="29" t="s">
        <v>149</v>
      </c>
      <c r="C94" s="28">
        <v>971</v>
      </c>
      <c r="D94" s="261">
        <v>170</v>
      </c>
      <c r="E94" s="30">
        <v>0</v>
      </c>
      <c r="F94" s="28">
        <v>0</v>
      </c>
      <c r="G94" s="28">
        <v>0</v>
      </c>
    </row>
    <row r="95" spans="1:7" ht="12.75">
      <c r="A95" s="28">
        <v>703</v>
      </c>
      <c r="B95" s="29" t="s">
        <v>150</v>
      </c>
      <c r="C95" s="28">
        <v>3429</v>
      </c>
      <c r="D95" s="261">
        <v>0</v>
      </c>
      <c r="E95" s="30">
        <v>0</v>
      </c>
      <c r="F95" s="28">
        <v>0</v>
      </c>
      <c r="G95" s="28">
        <v>0</v>
      </c>
    </row>
    <row r="96" spans="1:7" ht="12.75">
      <c r="A96" s="28">
        <v>704</v>
      </c>
      <c r="B96" s="29" t="s">
        <v>151</v>
      </c>
      <c r="C96" s="28">
        <v>1500</v>
      </c>
      <c r="D96" s="261">
        <v>101</v>
      </c>
      <c r="E96" s="30">
        <v>0</v>
      </c>
      <c r="F96" s="28">
        <v>0</v>
      </c>
      <c r="G96" s="28">
        <v>0</v>
      </c>
    </row>
    <row r="97" spans="1:7" ht="12.75">
      <c r="A97" s="28">
        <v>705</v>
      </c>
      <c r="B97" s="29" t="s">
        <v>152</v>
      </c>
      <c r="C97" s="28">
        <v>1592</v>
      </c>
      <c r="D97" s="261">
        <v>89</v>
      </c>
      <c r="E97" s="30">
        <v>0</v>
      </c>
      <c r="F97" s="28">
        <v>0</v>
      </c>
      <c r="G97" s="28">
        <v>0</v>
      </c>
    </row>
    <row r="98" spans="1:7" ht="12.75">
      <c r="A98" s="28">
        <v>706</v>
      </c>
      <c r="B98" s="29" t="s">
        <v>153</v>
      </c>
      <c r="C98" s="28">
        <v>2482</v>
      </c>
      <c r="D98" s="261">
        <v>0</v>
      </c>
      <c r="E98" s="30">
        <v>0</v>
      </c>
      <c r="F98" s="28">
        <v>0</v>
      </c>
      <c r="G98" s="28">
        <v>0</v>
      </c>
    </row>
    <row r="99" spans="1:7" ht="12.75">
      <c r="A99" s="28">
        <v>708</v>
      </c>
      <c r="B99" s="29" t="s">
        <v>154</v>
      </c>
      <c r="C99" s="28">
        <v>3146</v>
      </c>
      <c r="D99" s="261">
        <v>0</v>
      </c>
      <c r="E99" s="30">
        <v>0</v>
      </c>
      <c r="F99" s="28">
        <v>0</v>
      </c>
      <c r="G99" s="28">
        <v>0</v>
      </c>
    </row>
    <row r="100" spans="1:7" ht="12.75">
      <c r="A100" s="28">
        <v>709</v>
      </c>
      <c r="B100" s="29" t="s">
        <v>155</v>
      </c>
      <c r="C100" s="28">
        <v>2913</v>
      </c>
      <c r="D100" s="261">
        <v>0</v>
      </c>
      <c r="E100" s="30">
        <v>0</v>
      </c>
      <c r="F100" s="28">
        <v>0</v>
      </c>
      <c r="G100" s="28">
        <v>0</v>
      </c>
    </row>
    <row r="101" spans="1:7" ht="12.75">
      <c r="A101" s="28">
        <v>710</v>
      </c>
      <c r="B101" s="29" t="s">
        <v>156</v>
      </c>
      <c r="C101" s="28">
        <v>2913</v>
      </c>
      <c r="D101" s="261">
        <v>0</v>
      </c>
      <c r="E101" s="30">
        <v>20</v>
      </c>
      <c r="F101" s="28">
        <v>0</v>
      </c>
      <c r="G101" s="28">
        <v>0</v>
      </c>
    </row>
    <row r="102" spans="1:7" ht="12.75">
      <c r="A102" s="28">
        <v>711</v>
      </c>
      <c r="B102" s="29" t="s">
        <v>157</v>
      </c>
      <c r="C102" s="28">
        <v>2913</v>
      </c>
      <c r="D102" s="261">
        <v>0</v>
      </c>
      <c r="E102" s="30">
        <v>0</v>
      </c>
      <c r="F102" s="28">
        <v>0</v>
      </c>
      <c r="G102" s="28">
        <v>0</v>
      </c>
    </row>
    <row r="103" spans="1:7" ht="12.75">
      <c r="A103" s="28">
        <v>712</v>
      </c>
      <c r="B103" s="29" t="s">
        <v>158</v>
      </c>
      <c r="C103" s="28">
        <v>2913</v>
      </c>
      <c r="D103" s="261">
        <v>0</v>
      </c>
      <c r="E103" s="30">
        <v>0</v>
      </c>
      <c r="F103" s="28">
        <v>0</v>
      </c>
      <c r="G103" s="28">
        <v>0</v>
      </c>
    </row>
    <row r="104" spans="1:7" ht="12.75">
      <c r="A104" s="28">
        <v>713</v>
      </c>
      <c r="B104" s="29" t="s">
        <v>159</v>
      </c>
      <c r="C104" s="28">
        <v>2913</v>
      </c>
      <c r="D104" s="261">
        <v>0</v>
      </c>
      <c r="E104" s="30">
        <v>0</v>
      </c>
      <c r="F104" s="28">
        <v>0</v>
      </c>
      <c r="G104" s="28">
        <v>0</v>
      </c>
    </row>
    <row r="105" spans="1:7" ht="12.75">
      <c r="A105" s="28">
        <v>714</v>
      </c>
      <c r="B105" s="29" t="s">
        <v>160</v>
      </c>
      <c r="C105" s="28">
        <v>2913</v>
      </c>
      <c r="D105" s="261">
        <v>0</v>
      </c>
      <c r="E105" s="30">
        <v>0</v>
      </c>
      <c r="F105" s="28">
        <v>0</v>
      </c>
      <c r="G105" s="28">
        <v>0</v>
      </c>
    </row>
    <row r="106" spans="1:7" ht="12.75">
      <c r="A106" s="28">
        <v>715</v>
      </c>
      <c r="B106" s="29" t="s">
        <v>161</v>
      </c>
      <c r="C106" s="28">
        <v>1912</v>
      </c>
      <c r="D106" s="261">
        <v>47</v>
      </c>
      <c r="E106" s="30">
        <v>0</v>
      </c>
      <c r="F106" s="28">
        <v>42</v>
      </c>
      <c r="G106" s="28">
        <v>0</v>
      </c>
    </row>
    <row r="107" spans="1:7" ht="12.75">
      <c r="A107" s="28">
        <v>716</v>
      </c>
      <c r="B107" s="29" t="s">
        <v>162</v>
      </c>
      <c r="C107" s="28">
        <v>1942</v>
      </c>
      <c r="D107" s="261">
        <v>43</v>
      </c>
      <c r="E107" s="30">
        <v>0</v>
      </c>
      <c r="F107" s="28">
        <v>0</v>
      </c>
      <c r="G107" s="28">
        <v>0</v>
      </c>
    </row>
    <row r="108" spans="1:7" ht="12.75">
      <c r="A108" s="28">
        <v>717</v>
      </c>
      <c r="B108" s="29" t="s">
        <v>163</v>
      </c>
      <c r="C108" s="28">
        <v>2100</v>
      </c>
      <c r="D108" s="261">
        <v>23</v>
      </c>
      <c r="E108" s="30">
        <v>150</v>
      </c>
      <c r="F108" s="28">
        <v>0</v>
      </c>
      <c r="G108" s="28">
        <v>0</v>
      </c>
    </row>
    <row r="109" spans="1:7" ht="12.75">
      <c r="A109" s="28">
        <v>718</v>
      </c>
      <c r="B109" s="29" t="s">
        <v>164</v>
      </c>
      <c r="C109" s="28">
        <v>1942</v>
      </c>
      <c r="D109" s="261">
        <v>43</v>
      </c>
      <c r="E109" s="30">
        <v>17</v>
      </c>
      <c r="F109" s="28">
        <v>0</v>
      </c>
      <c r="G109" s="28">
        <v>0</v>
      </c>
    </row>
    <row r="110" spans="1:7" ht="12.75">
      <c r="A110" s="28">
        <v>719</v>
      </c>
      <c r="B110" s="29" t="s">
        <v>165</v>
      </c>
      <c r="C110" s="28">
        <v>1782</v>
      </c>
      <c r="D110" s="261">
        <v>64</v>
      </c>
      <c r="E110" s="30">
        <v>0</v>
      </c>
      <c r="F110" s="28">
        <v>0</v>
      </c>
      <c r="G110" s="28">
        <v>0</v>
      </c>
    </row>
    <row r="111" spans="1:7" ht="12.75">
      <c r="A111" s="28">
        <v>720</v>
      </c>
      <c r="B111" s="29" t="s">
        <v>166</v>
      </c>
      <c r="C111" s="28">
        <v>1782</v>
      </c>
      <c r="D111" s="261">
        <v>64</v>
      </c>
      <c r="E111" s="30">
        <v>17</v>
      </c>
      <c r="F111" s="28">
        <v>0</v>
      </c>
      <c r="G111" s="28">
        <v>0</v>
      </c>
    </row>
    <row r="112" spans="1:7" ht="12.75">
      <c r="A112" s="28">
        <v>721</v>
      </c>
      <c r="B112" s="29" t="s">
        <v>167</v>
      </c>
      <c r="C112" s="28">
        <v>1942</v>
      </c>
      <c r="D112" s="261">
        <v>43</v>
      </c>
      <c r="E112" s="30">
        <v>150</v>
      </c>
      <c r="F112" s="28">
        <v>0</v>
      </c>
      <c r="G112" s="28">
        <v>0</v>
      </c>
    </row>
    <row r="113" spans="1:7" ht="12.75">
      <c r="A113" s="28">
        <v>722</v>
      </c>
      <c r="B113" s="29" t="s">
        <v>168</v>
      </c>
      <c r="C113" s="28">
        <v>1692</v>
      </c>
      <c r="D113" s="261">
        <v>76</v>
      </c>
      <c r="E113" s="30">
        <v>0</v>
      </c>
      <c r="F113" s="28">
        <v>0</v>
      </c>
      <c r="G113" s="28">
        <v>0</v>
      </c>
    </row>
    <row r="114" spans="1:7" ht="12.75">
      <c r="A114" s="28">
        <v>723</v>
      </c>
      <c r="B114" s="29" t="s">
        <v>169</v>
      </c>
      <c r="C114" s="28">
        <v>1700</v>
      </c>
      <c r="D114" s="261">
        <v>75</v>
      </c>
      <c r="E114" s="30">
        <v>0</v>
      </c>
      <c r="F114" s="28">
        <v>0</v>
      </c>
      <c r="G114" s="28">
        <v>0</v>
      </c>
    </row>
    <row r="115" spans="1:7" ht="12.75">
      <c r="A115" s="28">
        <v>724</v>
      </c>
      <c r="B115" s="29" t="s">
        <v>170</v>
      </c>
      <c r="C115" s="28">
        <v>1942</v>
      </c>
      <c r="D115" s="261">
        <v>43</v>
      </c>
      <c r="E115" s="30">
        <v>150</v>
      </c>
      <c r="F115" s="28">
        <v>0</v>
      </c>
      <c r="G115" s="28">
        <v>0</v>
      </c>
    </row>
    <row r="116" spans="1:7" ht="12.75">
      <c r="A116" s="28">
        <v>725</v>
      </c>
      <c r="B116" s="29" t="s">
        <v>171</v>
      </c>
      <c r="C116" s="28">
        <v>1592</v>
      </c>
      <c r="D116" s="261">
        <v>89</v>
      </c>
      <c r="E116" s="30">
        <v>0</v>
      </c>
      <c r="F116" s="28">
        <v>0</v>
      </c>
      <c r="G116" s="28">
        <v>0</v>
      </c>
    </row>
    <row r="117" spans="1:7" ht="12.75">
      <c r="A117" s="28">
        <v>726</v>
      </c>
      <c r="B117" s="29" t="s">
        <v>172</v>
      </c>
      <c r="C117" s="28">
        <v>1500</v>
      </c>
      <c r="D117" s="261">
        <v>101</v>
      </c>
      <c r="E117" s="30">
        <v>150</v>
      </c>
      <c r="F117" s="28">
        <v>0</v>
      </c>
      <c r="G117" s="28">
        <v>0</v>
      </c>
    </row>
    <row r="118" spans="1:7" ht="12.75">
      <c r="A118" s="32">
        <v>727</v>
      </c>
      <c r="B118" s="33" t="s">
        <v>173</v>
      </c>
      <c r="C118" s="32">
        <v>1600</v>
      </c>
      <c r="D118" s="261">
        <v>88</v>
      </c>
      <c r="E118" s="34">
        <v>0</v>
      </c>
      <c r="F118" s="32">
        <v>0</v>
      </c>
      <c r="G118" s="32">
        <v>0</v>
      </c>
    </row>
    <row r="119" spans="1:7" ht="12.75">
      <c r="A119" s="28">
        <v>728</v>
      </c>
      <c r="B119" s="29" t="s">
        <v>174</v>
      </c>
      <c r="C119" s="28">
        <v>1360</v>
      </c>
      <c r="D119" s="261">
        <v>120</v>
      </c>
      <c r="E119" s="30">
        <v>17</v>
      </c>
      <c r="F119" s="28">
        <v>0</v>
      </c>
      <c r="G119" s="28">
        <v>0</v>
      </c>
    </row>
    <row r="120" spans="1:7" ht="12.75">
      <c r="A120" s="28">
        <v>729</v>
      </c>
      <c r="B120" s="29" t="s">
        <v>175</v>
      </c>
      <c r="C120" s="28">
        <v>1692</v>
      </c>
      <c r="D120" s="261">
        <v>76</v>
      </c>
      <c r="E120" s="30">
        <v>0</v>
      </c>
      <c r="F120" s="28">
        <v>0</v>
      </c>
      <c r="G120" s="28">
        <v>0</v>
      </c>
    </row>
    <row r="121" spans="1:7" ht="12.75">
      <c r="A121" s="28">
        <v>730</v>
      </c>
      <c r="B121" s="29" t="s">
        <v>176</v>
      </c>
      <c r="C121" s="28">
        <v>1700</v>
      </c>
      <c r="D121" s="261">
        <v>75</v>
      </c>
      <c r="E121" s="30">
        <v>0</v>
      </c>
      <c r="F121" s="28">
        <v>0</v>
      </c>
      <c r="G121" s="28">
        <v>0</v>
      </c>
    </row>
    <row r="122" spans="1:7" ht="12.75">
      <c r="A122" s="28">
        <v>731</v>
      </c>
      <c r="B122" s="29" t="s">
        <v>177</v>
      </c>
      <c r="C122" s="28">
        <v>1592</v>
      </c>
      <c r="D122" s="261">
        <v>89</v>
      </c>
      <c r="E122" s="30">
        <v>0</v>
      </c>
      <c r="F122" s="28">
        <v>0</v>
      </c>
      <c r="G122" s="28">
        <v>0</v>
      </c>
    </row>
    <row r="123" spans="1:7" ht="12.75">
      <c r="A123" s="28">
        <v>732</v>
      </c>
      <c r="B123" s="29" t="s">
        <v>178</v>
      </c>
      <c r="C123" s="28">
        <v>971</v>
      </c>
      <c r="D123" s="261">
        <v>170</v>
      </c>
      <c r="E123" s="30">
        <v>150</v>
      </c>
      <c r="F123" s="28">
        <v>0</v>
      </c>
      <c r="G123" s="28">
        <v>0</v>
      </c>
    </row>
    <row r="124" spans="1:7" ht="12.75">
      <c r="A124" s="28">
        <v>733</v>
      </c>
      <c r="B124" s="29" t="s">
        <v>179</v>
      </c>
      <c r="C124" s="28">
        <v>1150</v>
      </c>
      <c r="D124" s="261">
        <v>147</v>
      </c>
      <c r="E124" s="30">
        <v>0</v>
      </c>
      <c r="F124" s="28">
        <v>0</v>
      </c>
      <c r="G124" s="28">
        <v>0</v>
      </c>
    </row>
    <row r="125" spans="1:7" ht="12.75">
      <c r="A125" s="28">
        <v>734</v>
      </c>
      <c r="B125" s="29" t="s">
        <v>180</v>
      </c>
      <c r="C125" s="28">
        <v>1500</v>
      </c>
      <c r="D125" s="261">
        <v>101</v>
      </c>
      <c r="E125" s="30">
        <v>150</v>
      </c>
      <c r="F125" s="28">
        <v>0</v>
      </c>
      <c r="G125" s="28">
        <v>0</v>
      </c>
    </row>
    <row r="126" spans="1:7" ht="12.75">
      <c r="A126" s="28">
        <v>735</v>
      </c>
      <c r="B126" s="29" t="s">
        <v>181</v>
      </c>
      <c r="C126" s="28">
        <v>971</v>
      </c>
      <c r="D126" s="261">
        <v>170</v>
      </c>
      <c r="E126" s="30">
        <v>150</v>
      </c>
      <c r="F126" s="28">
        <v>0</v>
      </c>
      <c r="G126" s="28">
        <v>0</v>
      </c>
    </row>
    <row r="127" spans="1:7" ht="12.75">
      <c r="A127" s="28">
        <v>736</v>
      </c>
      <c r="B127" s="29" t="s">
        <v>182</v>
      </c>
      <c r="C127" s="28">
        <v>1600</v>
      </c>
      <c r="D127" s="261">
        <v>88</v>
      </c>
      <c r="E127" s="30">
        <v>0</v>
      </c>
      <c r="F127" s="28">
        <v>0</v>
      </c>
      <c r="G127" s="28">
        <v>0</v>
      </c>
    </row>
    <row r="128" spans="1:7" ht="12.75">
      <c r="A128" s="28">
        <v>737</v>
      </c>
      <c r="B128" s="29" t="s">
        <v>183</v>
      </c>
      <c r="C128" s="28">
        <v>971</v>
      </c>
      <c r="D128" s="261">
        <v>170</v>
      </c>
      <c r="E128" s="30">
        <v>150</v>
      </c>
      <c r="F128" s="28">
        <v>0</v>
      </c>
      <c r="G128" s="28">
        <v>0</v>
      </c>
    </row>
    <row r="129" spans="1:7" ht="12.75">
      <c r="A129" s="28">
        <v>738</v>
      </c>
      <c r="B129" s="29" t="s">
        <v>184</v>
      </c>
      <c r="C129" s="28">
        <v>971</v>
      </c>
      <c r="D129" s="261">
        <v>170</v>
      </c>
      <c r="E129" s="30">
        <v>17</v>
      </c>
      <c r="F129" s="28">
        <v>0</v>
      </c>
      <c r="G129" s="28">
        <v>0</v>
      </c>
    </row>
    <row r="130" spans="1:7" ht="12.75">
      <c r="A130" s="28">
        <v>739</v>
      </c>
      <c r="B130" s="29" t="s">
        <v>185</v>
      </c>
      <c r="C130" s="28">
        <v>971</v>
      </c>
      <c r="D130" s="261">
        <v>170</v>
      </c>
      <c r="E130" s="30">
        <v>150</v>
      </c>
      <c r="F130" s="28">
        <v>0</v>
      </c>
      <c r="G130" s="28">
        <v>0</v>
      </c>
    </row>
    <row r="131" spans="1:7" ht="12.75">
      <c r="A131" s="28">
        <v>740</v>
      </c>
      <c r="B131" s="29" t="s">
        <v>186</v>
      </c>
      <c r="C131" s="28">
        <v>971</v>
      </c>
      <c r="D131" s="261">
        <v>170</v>
      </c>
      <c r="E131" s="30">
        <v>150</v>
      </c>
      <c r="F131" s="28">
        <v>0</v>
      </c>
      <c r="G131" s="28">
        <v>0</v>
      </c>
    </row>
    <row r="132" spans="1:7" ht="12.75">
      <c r="A132" s="28">
        <v>741</v>
      </c>
      <c r="B132" s="29" t="s">
        <v>187</v>
      </c>
      <c r="C132" s="28">
        <v>1300</v>
      </c>
      <c r="D132" s="261">
        <v>127</v>
      </c>
      <c r="E132" s="30">
        <v>0</v>
      </c>
      <c r="F132" s="28">
        <v>0</v>
      </c>
      <c r="G132" s="28">
        <v>0</v>
      </c>
    </row>
    <row r="133" spans="1:7" ht="12.75">
      <c r="A133" s="28">
        <v>742</v>
      </c>
      <c r="B133" s="29" t="s">
        <v>188</v>
      </c>
      <c r="C133" s="28">
        <v>971</v>
      </c>
      <c r="D133" s="261">
        <v>170</v>
      </c>
      <c r="E133" s="30">
        <v>150</v>
      </c>
      <c r="F133" s="28">
        <v>0</v>
      </c>
      <c r="G133" s="28">
        <v>0</v>
      </c>
    </row>
    <row r="134" spans="1:7" ht="12.75">
      <c r="A134" s="35">
        <v>743</v>
      </c>
      <c r="B134" s="36" t="s">
        <v>189</v>
      </c>
      <c r="C134" s="35">
        <v>971</v>
      </c>
      <c r="D134" s="261">
        <v>170</v>
      </c>
      <c r="E134" s="37">
        <v>17</v>
      </c>
      <c r="F134" s="35">
        <v>0</v>
      </c>
      <c r="G134" s="35">
        <v>0</v>
      </c>
    </row>
    <row r="135" spans="1:7" ht="12.75">
      <c r="A135" s="28">
        <v>744</v>
      </c>
      <c r="B135" s="29" t="s">
        <v>190</v>
      </c>
      <c r="C135" s="28">
        <v>1400</v>
      </c>
      <c r="D135" s="261">
        <v>114</v>
      </c>
      <c r="E135" s="30">
        <v>0</v>
      </c>
      <c r="F135" s="28">
        <v>0</v>
      </c>
      <c r="G135" s="28">
        <v>0</v>
      </c>
    </row>
    <row r="136" spans="1:7" ht="12.75">
      <c r="A136" s="28">
        <v>745</v>
      </c>
      <c r="B136" s="29" t="s">
        <v>191</v>
      </c>
      <c r="C136" s="28">
        <v>1450</v>
      </c>
      <c r="D136" s="261">
        <v>107</v>
      </c>
      <c r="E136" s="30">
        <v>0</v>
      </c>
      <c r="F136" s="28">
        <v>0</v>
      </c>
      <c r="G136" s="28">
        <v>0</v>
      </c>
    </row>
    <row r="137" spans="1:7" ht="12.75">
      <c r="A137" s="28">
        <v>746</v>
      </c>
      <c r="B137" s="29" t="s">
        <v>192</v>
      </c>
      <c r="C137" s="28">
        <v>971</v>
      </c>
      <c r="D137" s="261">
        <v>170</v>
      </c>
      <c r="E137" s="30">
        <v>150</v>
      </c>
      <c r="F137" s="28">
        <v>0</v>
      </c>
      <c r="G137" s="28">
        <v>0</v>
      </c>
    </row>
    <row r="138" spans="1:7" ht="12.75">
      <c r="A138" s="28">
        <v>747</v>
      </c>
      <c r="B138" s="29" t="s">
        <v>193</v>
      </c>
      <c r="C138" s="28">
        <v>971</v>
      </c>
      <c r="D138" s="261">
        <v>170</v>
      </c>
      <c r="E138" s="30">
        <v>0</v>
      </c>
      <c r="F138" s="28">
        <v>0</v>
      </c>
      <c r="G138" s="28">
        <v>0</v>
      </c>
    </row>
    <row r="139" spans="1:7" ht="12.75">
      <c r="A139" s="28">
        <v>748</v>
      </c>
      <c r="B139" s="29" t="s">
        <v>194</v>
      </c>
      <c r="C139" s="28">
        <v>1250</v>
      </c>
      <c r="D139" s="261">
        <v>134</v>
      </c>
      <c r="E139" s="30">
        <v>0</v>
      </c>
      <c r="F139" s="28">
        <v>0</v>
      </c>
      <c r="G139" s="28">
        <v>0</v>
      </c>
    </row>
    <row r="140" spans="1:7" ht="12.75">
      <c r="A140" s="28">
        <v>749</v>
      </c>
      <c r="B140" s="29" t="s">
        <v>88</v>
      </c>
      <c r="C140" s="28">
        <v>971</v>
      </c>
      <c r="D140" s="261">
        <v>170</v>
      </c>
      <c r="E140" s="30">
        <v>0</v>
      </c>
      <c r="F140" s="28">
        <v>0</v>
      </c>
      <c r="G140" s="28">
        <v>0</v>
      </c>
    </row>
    <row r="141" spans="1:7" ht="12.75">
      <c r="A141" s="28">
        <v>750</v>
      </c>
      <c r="B141" s="29" t="s">
        <v>87</v>
      </c>
      <c r="C141" s="28">
        <v>971</v>
      </c>
      <c r="D141" s="261">
        <v>170</v>
      </c>
      <c r="E141" s="30">
        <v>0</v>
      </c>
      <c r="F141" s="28">
        <v>0</v>
      </c>
      <c r="G141" s="28">
        <v>0</v>
      </c>
    </row>
    <row r="142" spans="1:7" ht="12.75">
      <c r="A142" s="28">
        <v>751</v>
      </c>
      <c r="B142" s="29" t="s">
        <v>195</v>
      </c>
      <c r="C142" s="28">
        <v>1500</v>
      </c>
      <c r="D142" s="261">
        <v>101</v>
      </c>
      <c r="E142" s="30">
        <v>150</v>
      </c>
      <c r="F142" s="28">
        <v>0</v>
      </c>
      <c r="G142" s="28">
        <v>0</v>
      </c>
    </row>
    <row r="143" spans="1:7" ht="12.75">
      <c r="A143" s="28">
        <v>752</v>
      </c>
      <c r="B143" s="29" t="s">
        <v>196</v>
      </c>
      <c r="C143" s="28">
        <v>2913</v>
      </c>
      <c r="D143" s="261">
        <v>0</v>
      </c>
      <c r="E143" s="30">
        <v>20</v>
      </c>
      <c r="F143" s="28">
        <v>0</v>
      </c>
      <c r="G143" s="28">
        <v>0</v>
      </c>
    </row>
    <row r="144" spans="1:7" ht="12.75">
      <c r="A144" s="28">
        <v>753</v>
      </c>
      <c r="B144" s="29" t="s">
        <v>197</v>
      </c>
      <c r="C144" s="28">
        <v>1942</v>
      </c>
      <c r="D144" s="261">
        <v>43</v>
      </c>
      <c r="E144" s="30">
        <v>150</v>
      </c>
      <c r="F144" s="28">
        <v>0</v>
      </c>
      <c r="G144" s="28">
        <v>0</v>
      </c>
    </row>
    <row r="145" spans="1:7" ht="12.75">
      <c r="A145" s="28">
        <v>754</v>
      </c>
      <c r="B145" s="29" t="s">
        <v>198</v>
      </c>
      <c r="C145" s="28">
        <v>971</v>
      </c>
      <c r="D145" s="261">
        <v>170</v>
      </c>
      <c r="E145" s="30">
        <v>0</v>
      </c>
      <c r="F145" s="28">
        <v>0</v>
      </c>
      <c r="G145" s="28">
        <v>0</v>
      </c>
    </row>
    <row r="146" spans="1:7" ht="12.75">
      <c r="A146" s="28">
        <v>755</v>
      </c>
      <c r="B146" s="29" t="s">
        <v>199</v>
      </c>
      <c r="C146" s="28">
        <v>971</v>
      </c>
      <c r="D146" s="261">
        <v>170</v>
      </c>
      <c r="E146" s="30">
        <v>0</v>
      </c>
      <c r="F146" s="28">
        <v>0</v>
      </c>
      <c r="G146" s="28">
        <v>0</v>
      </c>
    </row>
    <row r="147" spans="1:7" ht="12.75">
      <c r="A147" s="28">
        <v>756</v>
      </c>
      <c r="B147" s="29" t="s">
        <v>200</v>
      </c>
      <c r="C147" s="28">
        <v>1290</v>
      </c>
      <c r="D147" s="261">
        <v>128</v>
      </c>
      <c r="E147" s="30">
        <v>0</v>
      </c>
      <c r="F147" s="28">
        <v>0</v>
      </c>
      <c r="G147" s="28">
        <v>0</v>
      </c>
    </row>
    <row r="148" spans="1:7" ht="12.75">
      <c r="A148" s="28">
        <v>757</v>
      </c>
      <c r="B148" s="29" t="s">
        <v>201</v>
      </c>
      <c r="C148" s="28">
        <v>971</v>
      </c>
      <c r="D148" s="261">
        <v>170</v>
      </c>
      <c r="E148" s="30">
        <v>0</v>
      </c>
      <c r="F148" s="28">
        <v>0</v>
      </c>
      <c r="G148" s="28">
        <v>0</v>
      </c>
    </row>
    <row r="149" spans="1:7" ht="12.75">
      <c r="A149" s="28">
        <v>758</v>
      </c>
      <c r="B149" s="29" t="s">
        <v>202</v>
      </c>
      <c r="C149" s="28">
        <v>971</v>
      </c>
      <c r="D149" s="261">
        <v>170</v>
      </c>
      <c r="E149" s="30">
        <v>0</v>
      </c>
      <c r="F149" s="28">
        <v>0</v>
      </c>
      <c r="G149" s="28">
        <v>0</v>
      </c>
    </row>
    <row r="150" spans="1:7" ht="12.75">
      <c r="A150" s="28">
        <v>759</v>
      </c>
      <c r="B150" s="29" t="s">
        <v>203</v>
      </c>
      <c r="C150" s="28">
        <v>971</v>
      </c>
      <c r="D150" s="261">
        <v>170</v>
      </c>
      <c r="E150" s="30">
        <v>150</v>
      </c>
      <c r="F150" s="28">
        <v>0</v>
      </c>
      <c r="G150" s="28">
        <v>0</v>
      </c>
    </row>
    <row r="151" spans="1:7" ht="12.75">
      <c r="A151" s="28">
        <v>760</v>
      </c>
      <c r="B151" s="29" t="s">
        <v>204</v>
      </c>
      <c r="C151" s="28">
        <v>1400</v>
      </c>
      <c r="D151" s="261">
        <v>114</v>
      </c>
      <c r="E151" s="30">
        <v>0</v>
      </c>
      <c r="F151" s="28">
        <v>0</v>
      </c>
      <c r="G151" s="28">
        <v>0</v>
      </c>
    </row>
    <row r="152" spans="1:7" ht="12.75">
      <c r="A152" s="28">
        <v>761</v>
      </c>
      <c r="B152" s="29" t="s">
        <v>205</v>
      </c>
      <c r="C152" s="28">
        <v>1700</v>
      </c>
      <c r="D152" s="261">
        <v>75</v>
      </c>
      <c r="E152" s="30">
        <v>150</v>
      </c>
      <c r="F152" s="28">
        <v>0</v>
      </c>
      <c r="G152" s="28">
        <v>0</v>
      </c>
    </row>
    <row r="153" spans="1:7" ht="12.75">
      <c r="A153" s="28">
        <v>762</v>
      </c>
      <c r="B153" s="29" t="s">
        <v>206</v>
      </c>
      <c r="C153" s="28">
        <v>971</v>
      </c>
      <c r="D153" s="261">
        <v>170</v>
      </c>
      <c r="E153" s="30">
        <v>0</v>
      </c>
      <c r="F153" s="28">
        <v>0</v>
      </c>
      <c r="G153" s="28">
        <v>0</v>
      </c>
    </row>
    <row r="154" spans="1:7" ht="12.75">
      <c r="A154" s="28">
        <v>763</v>
      </c>
      <c r="B154" s="29" t="s">
        <v>207</v>
      </c>
      <c r="C154" s="28">
        <v>971</v>
      </c>
      <c r="D154" s="261">
        <v>170</v>
      </c>
      <c r="E154" s="30">
        <v>0</v>
      </c>
      <c r="F154" s="28">
        <v>0</v>
      </c>
      <c r="G154" s="28">
        <v>0</v>
      </c>
    </row>
    <row r="155" spans="1:7" ht="12.75">
      <c r="A155" s="28">
        <v>764</v>
      </c>
      <c r="B155" s="29" t="s">
        <v>208</v>
      </c>
      <c r="C155" s="28">
        <v>1500</v>
      </c>
      <c r="D155" s="261">
        <v>101</v>
      </c>
      <c r="E155" s="30">
        <v>150</v>
      </c>
      <c r="F155" s="28">
        <v>0</v>
      </c>
      <c r="G155" s="28">
        <v>0</v>
      </c>
    </row>
    <row r="156" spans="1:7" ht="12.75">
      <c r="A156" s="28">
        <v>765</v>
      </c>
      <c r="B156" s="29" t="s">
        <v>209</v>
      </c>
      <c r="C156" s="28">
        <v>1500</v>
      </c>
      <c r="D156" s="261">
        <v>101</v>
      </c>
      <c r="E156" s="30">
        <v>150</v>
      </c>
      <c r="F156" s="28">
        <v>0</v>
      </c>
      <c r="G156" s="28">
        <v>0</v>
      </c>
    </row>
    <row r="157" spans="1:7" ht="12.75">
      <c r="A157" s="28">
        <v>766</v>
      </c>
      <c r="B157" s="29" t="s">
        <v>210</v>
      </c>
      <c r="C157" s="28">
        <v>1942</v>
      </c>
      <c r="D157" s="261">
        <v>43</v>
      </c>
      <c r="E157" s="30">
        <v>150</v>
      </c>
      <c r="F157" s="28">
        <v>0</v>
      </c>
      <c r="G157" s="28">
        <v>0</v>
      </c>
    </row>
    <row r="158" spans="1:7" ht="12.75">
      <c r="A158" s="28">
        <v>767</v>
      </c>
      <c r="B158" s="29" t="s">
        <v>211</v>
      </c>
      <c r="C158" s="28">
        <v>1700</v>
      </c>
      <c r="D158" s="261">
        <v>75</v>
      </c>
      <c r="E158" s="30">
        <v>150</v>
      </c>
      <c r="F158" s="28">
        <v>0</v>
      </c>
      <c r="G158" s="28">
        <v>0</v>
      </c>
    </row>
    <row r="159" spans="1:7" ht="12.75">
      <c r="A159" s="28">
        <v>768</v>
      </c>
      <c r="B159" s="29" t="s">
        <v>212</v>
      </c>
      <c r="C159" s="28">
        <v>971</v>
      </c>
      <c r="D159" s="261">
        <v>170</v>
      </c>
      <c r="E159" s="30">
        <v>150</v>
      </c>
      <c r="F159" s="28">
        <v>0</v>
      </c>
      <c r="G159" s="28">
        <v>0</v>
      </c>
    </row>
    <row r="160" spans="1:7" ht="12.75">
      <c r="A160" s="28">
        <v>769</v>
      </c>
      <c r="B160" s="29" t="s">
        <v>213</v>
      </c>
      <c r="C160" s="28">
        <v>2913</v>
      </c>
      <c r="D160" s="261">
        <v>0</v>
      </c>
      <c r="E160" s="30">
        <v>0</v>
      </c>
      <c r="F160" s="28">
        <v>0</v>
      </c>
      <c r="G160" s="28">
        <v>0</v>
      </c>
    </row>
    <row r="161" spans="1:7" ht="12.75">
      <c r="A161" s="28">
        <v>770</v>
      </c>
      <c r="B161" s="29" t="s">
        <v>214</v>
      </c>
      <c r="C161" s="28">
        <v>2913</v>
      </c>
      <c r="D161" s="261">
        <v>0</v>
      </c>
      <c r="E161" s="30">
        <v>0</v>
      </c>
      <c r="F161" s="28">
        <v>0</v>
      </c>
      <c r="G161" s="28">
        <v>0</v>
      </c>
    </row>
    <row r="162" spans="1:7" ht="12.75">
      <c r="A162" s="28">
        <v>771</v>
      </c>
      <c r="B162" s="29" t="s">
        <v>215</v>
      </c>
      <c r="C162" s="28">
        <v>971</v>
      </c>
      <c r="D162" s="261">
        <v>170</v>
      </c>
      <c r="E162" s="30">
        <v>0</v>
      </c>
      <c r="F162" s="28">
        <v>0</v>
      </c>
      <c r="G162" s="28">
        <v>620</v>
      </c>
    </row>
    <row r="163" spans="1:7" ht="12.75">
      <c r="A163" s="28">
        <v>772</v>
      </c>
      <c r="B163" s="29" t="s">
        <v>216</v>
      </c>
      <c r="C163" s="28">
        <v>971</v>
      </c>
      <c r="D163" s="261">
        <v>170</v>
      </c>
      <c r="E163" s="30">
        <v>0</v>
      </c>
      <c r="F163" s="28">
        <v>0</v>
      </c>
      <c r="G163" s="28">
        <v>620</v>
      </c>
    </row>
    <row r="164" spans="1:7" ht="12.75">
      <c r="A164" s="28">
        <v>773</v>
      </c>
      <c r="B164" s="29" t="s">
        <v>217</v>
      </c>
      <c r="C164" s="28">
        <v>1942</v>
      </c>
      <c r="D164" s="261">
        <v>43</v>
      </c>
      <c r="E164" s="30">
        <v>0</v>
      </c>
      <c r="F164" s="28">
        <v>0</v>
      </c>
      <c r="G164" s="28">
        <v>669</v>
      </c>
    </row>
    <row r="165" spans="1:7" ht="12.75">
      <c r="A165" s="28">
        <v>774</v>
      </c>
      <c r="B165" s="29" t="s">
        <v>218</v>
      </c>
      <c r="C165" s="28">
        <v>1700</v>
      </c>
      <c r="D165" s="261">
        <v>75</v>
      </c>
      <c r="E165" s="30">
        <v>0</v>
      </c>
      <c r="F165" s="28">
        <v>0</v>
      </c>
      <c r="G165" s="28">
        <v>657</v>
      </c>
    </row>
    <row r="166" spans="1:7" ht="12.75">
      <c r="A166" s="28">
        <v>775</v>
      </c>
      <c r="B166" s="29" t="s">
        <v>219</v>
      </c>
      <c r="C166" s="28">
        <v>1400</v>
      </c>
      <c r="D166" s="261">
        <v>114</v>
      </c>
      <c r="E166" s="30">
        <v>150</v>
      </c>
      <c r="F166" s="28">
        <v>0</v>
      </c>
      <c r="G166" s="28">
        <v>0</v>
      </c>
    </row>
    <row r="167" spans="1:7" ht="12.75">
      <c r="A167" s="28">
        <v>776</v>
      </c>
      <c r="B167" s="29" t="s">
        <v>220</v>
      </c>
      <c r="C167" s="28">
        <v>971</v>
      </c>
      <c r="D167" s="261">
        <v>170</v>
      </c>
      <c r="E167" s="30">
        <v>0</v>
      </c>
      <c r="F167" s="28">
        <v>0</v>
      </c>
      <c r="G167" s="28">
        <v>0</v>
      </c>
    </row>
    <row r="168" spans="1:7" ht="12.75">
      <c r="A168" s="28">
        <v>777</v>
      </c>
      <c r="B168" s="29" t="s">
        <v>221</v>
      </c>
      <c r="C168" s="28">
        <v>971</v>
      </c>
      <c r="D168" s="261">
        <v>170</v>
      </c>
      <c r="E168" s="30">
        <v>0</v>
      </c>
      <c r="F168" s="28">
        <v>0</v>
      </c>
      <c r="G168" s="28">
        <v>155</v>
      </c>
    </row>
    <row r="169" spans="1:7" ht="12.75">
      <c r="A169" s="28">
        <v>778</v>
      </c>
      <c r="B169" s="29" t="s">
        <v>222</v>
      </c>
      <c r="C169" s="28">
        <v>1692</v>
      </c>
      <c r="D169" s="261">
        <v>76</v>
      </c>
      <c r="E169" s="30">
        <v>17</v>
      </c>
      <c r="F169" s="28">
        <v>0</v>
      </c>
      <c r="G169" s="28">
        <v>0</v>
      </c>
    </row>
    <row r="170" spans="1:7" ht="12.75">
      <c r="A170" s="28">
        <v>779</v>
      </c>
      <c r="B170" s="31" t="s">
        <v>223</v>
      </c>
      <c r="C170" s="28">
        <v>853</v>
      </c>
      <c r="D170" s="261">
        <v>779</v>
      </c>
      <c r="E170" s="30">
        <v>0</v>
      </c>
      <c r="F170" s="28">
        <v>0</v>
      </c>
      <c r="G170" s="28">
        <v>0</v>
      </c>
    </row>
    <row r="171" spans="1:7" ht="12.75">
      <c r="A171" s="28">
        <v>780</v>
      </c>
      <c r="B171" s="29" t="s">
        <v>224</v>
      </c>
      <c r="C171" s="28">
        <v>3146</v>
      </c>
      <c r="D171" s="261">
        <v>0</v>
      </c>
      <c r="E171" s="30">
        <v>0</v>
      </c>
      <c r="F171" s="28">
        <v>0</v>
      </c>
      <c r="G171" s="28">
        <v>0</v>
      </c>
    </row>
    <row r="172" spans="1:7" ht="12.75">
      <c r="A172" s="28">
        <v>781</v>
      </c>
      <c r="B172" s="29" t="s">
        <v>225</v>
      </c>
      <c r="C172" s="28">
        <v>2288</v>
      </c>
      <c r="D172" s="261">
        <v>0</v>
      </c>
      <c r="E172" s="30">
        <v>0</v>
      </c>
      <c r="F172" s="28">
        <v>0</v>
      </c>
      <c r="G172" s="28">
        <v>0</v>
      </c>
    </row>
    <row r="173" spans="1:7" ht="12.75">
      <c r="A173" s="28">
        <v>783</v>
      </c>
      <c r="B173" s="29" t="s">
        <v>226</v>
      </c>
      <c r="C173" s="28">
        <v>971</v>
      </c>
      <c r="D173" s="261">
        <v>170</v>
      </c>
      <c r="E173" s="30">
        <v>0</v>
      </c>
      <c r="F173" s="28">
        <v>0</v>
      </c>
      <c r="G173" s="28">
        <v>0</v>
      </c>
    </row>
    <row r="174" spans="1:7" ht="12.75">
      <c r="A174" s="28">
        <v>784</v>
      </c>
      <c r="B174" s="29" t="s">
        <v>227</v>
      </c>
      <c r="C174" s="28">
        <v>2490</v>
      </c>
      <c r="D174" s="261">
        <v>0</v>
      </c>
      <c r="E174" s="30">
        <v>0</v>
      </c>
      <c r="F174" s="28">
        <v>0</v>
      </c>
      <c r="G174" s="28">
        <v>0</v>
      </c>
    </row>
    <row r="175" spans="1:7" ht="12.75">
      <c r="A175" s="28">
        <v>788</v>
      </c>
      <c r="B175" s="29" t="s">
        <v>228</v>
      </c>
      <c r="C175" s="28">
        <v>2000</v>
      </c>
      <c r="D175" s="261">
        <v>36</v>
      </c>
      <c r="E175" s="30">
        <v>0</v>
      </c>
      <c r="F175" s="28">
        <v>0</v>
      </c>
      <c r="G175" s="28">
        <v>0</v>
      </c>
    </row>
    <row r="176" spans="1:7" ht="12.75">
      <c r="A176" s="28">
        <v>789</v>
      </c>
      <c r="B176" s="29" t="s">
        <v>229</v>
      </c>
      <c r="C176" s="28">
        <v>971</v>
      </c>
      <c r="D176" s="261">
        <v>170</v>
      </c>
      <c r="E176" s="30">
        <v>0</v>
      </c>
      <c r="F176" s="28">
        <v>0</v>
      </c>
      <c r="G176" s="28">
        <v>0</v>
      </c>
    </row>
    <row r="177" spans="1:7" ht="12.75">
      <c r="A177" s="28">
        <v>791</v>
      </c>
      <c r="B177" s="29" t="s">
        <v>230</v>
      </c>
      <c r="C177" s="28">
        <v>2913</v>
      </c>
      <c r="D177" s="261">
        <v>0</v>
      </c>
      <c r="E177" s="30">
        <v>17</v>
      </c>
      <c r="F177" s="28">
        <v>0</v>
      </c>
      <c r="G177" s="28">
        <v>0</v>
      </c>
    </row>
    <row r="178" spans="1:7" ht="12.75">
      <c r="A178" s="28">
        <v>792</v>
      </c>
      <c r="B178" s="29" t="s">
        <v>231</v>
      </c>
      <c r="C178" s="28">
        <v>2913</v>
      </c>
      <c r="D178" s="261">
        <v>0</v>
      </c>
      <c r="E178" s="30">
        <v>0</v>
      </c>
      <c r="F178" s="28">
        <v>0</v>
      </c>
      <c r="G178" s="28">
        <v>0</v>
      </c>
    </row>
    <row r="179" spans="1:7" ht="12.75">
      <c r="A179" s="28">
        <v>793</v>
      </c>
      <c r="B179" s="29" t="s">
        <v>232</v>
      </c>
      <c r="C179" s="28">
        <v>2913</v>
      </c>
      <c r="D179" s="261">
        <v>0</v>
      </c>
      <c r="E179" s="30">
        <v>0</v>
      </c>
      <c r="F179" s="28">
        <v>0</v>
      </c>
      <c r="G179" s="28">
        <v>0</v>
      </c>
    </row>
    <row r="180" spans="1:7" ht="12.75">
      <c r="A180" s="28">
        <v>794</v>
      </c>
      <c r="B180" s="29" t="s">
        <v>233</v>
      </c>
      <c r="C180" s="28">
        <v>1840</v>
      </c>
      <c r="D180" s="261">
        <v>57</v>
      </c>
      <c r="E180" s="30">
        <v>0</v>
      </c>
      <c r="F180" s="28">
        <v>0</v>
      </c>
      <c r="G180" s="28">
        <v>0</v>
      </c>
    </row>
    <row r="181" spans="1:7" ht="12.75">
      <c r="A181" s="28">
        <v>795</v>
      </c>
      <c r="B181" s="29" t="s">
        <v>234</v>
      </c>
      <c r="C181" s="28">
        <v>1450</v>
      </c>
      <c r="D181" s="261">
        <v>107</v>
      </c>
      <c r="E181" s="30">
        <v>0</v>
      </c>
      <c r="F181" s="28">
        <v>0</v>
      </c>
      <c r="G181" s="28">
        <v>0</v>
      </c>
    </row>
    <row r="182" spans="1:7" ht="12.75">
      <c r="A182" s="28">
        <v>796</v>
      </c>
      <c r="B182" s="29" t="s">
        <v>235</v>
      </c>
      <c r="C182" s="28">
        <v>1340</v>
      </c>
      <c r="D182" s="261">
        <v>122</v>
      </c>
      <c r="E182" s="30">
        <v>0</v>
      </c>
      <c r="F182" s="28">
        <v>0</v>
      </c>
      <c r="G182" s="28">
        <v>0</v>
      </c>
    </row>
    <row r="183" spans="1:7" ht="12.75">
      <c r="A183" s="28">
        <v>797</v>
      </c>
      <c r="B183" s="29" t="s">
        <v>236</v>
      </c>
      <c r="C183" s="28">
        <v>1170</v>
      </c>
      <c r="D183" s="261">
        <v>144</v>
      </c>
      <c r="E183" s="30">
        <v>0</v>
      </c>
      <c r="F183" s="28">
        <v>0</v>
      </c>
      <c r="G183" s="28">
        <v>0</v>
      </c>
    </row>
    <row r="184" spans="1:7" ht="12.75">
      <c r="A184" s="28">
        <v>798</v>
      </c>
      <c r="B184" s="29" t="s">
        <v>237</v>
      </c>
      <c r="C184" s="28">
        <v>961</v>
      </c>
      <c r="D184" s="261">
        <v>171</v>
      </c>
      <c r="E184" s="30">
        <v>0</v>
      </c>
      <c r="F184" s="28">
        <v>0</v>
      </c>
      <c r="G184" s="28">
        <v>0</v>
      </c>
    </row>
    <row r="185" spans="1:7" ht="12.75">
      <c r="A185" s="28">
        <v>808</v>
      </c>
      <c r="B185" s="29" t="s">
        <v>238</v>
      </c>
      <c r="C185" s="28">
        <v>1942</v>
      </c>
      <c r="D185" s="261">
        <v>43</v>
      </c>
      <c r="E185" s="30">
        <v>0</v>
      </c>
      <c r="F185" s="28">
        <v>0</v>
      </c>
      <c r="G185" s="28">
        <v>669</v>
      </c>
    </row>
    <row r="186" spans="1:7" ht="12.75">
      <c r="A186" s="28">
        <v>809</v>
      </c>
      <c r="B186" s="29" t="s">
        <v>239</v>
      </c>
      <c r="C186" s="28">
        <v>1782</v>
      </c>
      <c r="D186" s="261">
        <v>64</v>
      </c>
      <c r="E186" s="30">
        <v>0</v>
      </c>
      <c r="F186" s="28">
        <v>0</v>
      </c>
      <c r="G186" s="28">
        <v>669</v>
      </c>
    </row>
    <row r="187" spans="1:7" ht="12.75">
      <c r="A187" s="28">
        <v>810</v>
      </c>
      <c r="B187" s="29" t="s">
        <v>240</v>
      </c>
      <c r="C187" s="28">
        <v>1692</v>
      </c>
      <c r="D187" s="261">
        <v>76</v>
      </c>
      <c r="E187" s="30">
        <v>0</v>
      </c>
      <c r="F187" s="28">
        <v>0</v>
      </c>
      <c r="G187" s="28">
        <v>663</v>
      </c>
    </row>
    <row r="188" spans="1:7" ht="12.75">
      <c r="A188" s="28">
        <v>811</v>
      </c>
      <c r="B188" s="29" t="s">
        <v>241</v>
      </c>
      <c r="C188" s="28">
        <v>1592</v>
      </c>
      <c r="D188" s="261">
        <v>89</v>
      </c>
      <c r="E188" s="30">
        <v>0</v>
      </c>
      <c r="F188" s="28">
        <v>0</v>
      </c>
      <c r="G188" s="28">
        <v>657</v>
      </c>
    </row>
    <row r="189" spans="1:7" ht="12.75">
      <c r="A189" s="28">
        <v>812</v>
      </c>
      <c r="B189" s="29" t="s">
        <v>242</v>
      </c>
      <c r="C189" s="28">
        <v>1600</v>
      </c>
      <c r="D189" s="261">
        <v>88</v>
      </c>
      <c r="E189" s="30">
        <v>0</v>
      </c>
      <c r="F189" s="28">
        <v>0</v>
      </c>
      <c r="G189" s="28">
        <v>657</v>
      </c>
    </row>
    <row r="190" spans="1:7" ht="12.75">
      <c r="A190" s="28">
        <v>813</v>
      </c>
      <c r="B190" s="29" t="s">
        <v>243</v>
      </c>
      <c r="C190" s="28">
        <v>971</v>
      </c>
      <c r="D190" s="261">
        <v>170</v>
      </c>
      <c r="E190" s="30">
        <v>0</v>
      </c>
      <c r="F190" s="28">
        <v>0</v>
      </c>
      <c r="G190" s="28">
        <v>620</v>
      </c>
    </row>
    <row r="191" spans="1:7" ht="12.75">
      <c r="A191" s="28">
        <v>814</v>
      </c>
      <c r="B191" s="29" t="s">
        <v>244</v>
      </c>
      <c r="C191" s="28">
        <v>971</v>
      </c>
      <c r="D191" s="261">
        <v>170</v>
      </c>
      <c r="E191" s="30">
        <v>0</v>
      </c>
      <c r="F191" s="28">
        <v>0</v>
      </c>
      <c r="G191" s="28">
        <v>155</v>
      </c>
    </row>
    <row r="192" spans="1:7" ht="12.75">
      <c r="A192" s="28">
        <v>815</v>
      </c>
      <c r="B192" s="29" t="s">
        <v>245</v>
      </c>
      <c r="C192" s="28">
        <v>971</v>
      </c>
      <c r="D192" s="261">
        <v>170</v>
      </c>
      <c r="E192" s="30">
        <v>17</v>
      </c>
      <c r="F192" s="28">
        <v>0</v>
      </c>
      <c r="G192" s="28">
        <v>0</v>
      </c>
    </row>
    <row r="193" spans="1:7" ht="12.75">
      <c r="A193" s="28">
        <v>816</v>
      </c>
      <c r="B193" s="29" t="s">
        <v>246</v>
      </c>
      <c r="C193" s="28">
        <v>1600</v>
      </c>
      <c r="D193" s="261">
        <v>88</v>
      </c>
      <c r="E193" s="30">
        <v>17</v>
      </c>
      <c r="F193" s="28">
        <v>0</v>
      </c>
      <c r="G193" s="28">
        <v>0</v>
      </c>
    </row>
    <row r="194" spans="1:7" ht="12.75">
      <c r="A194" s="28">
        <v>817</v>
      </c>
      <c r="B194" s="29" t="s">
        <v>247</v>
      </c>
      <c r="C194" s="28">
        <v>1782</v>
      </c>
      <c r="D194" s="261">
        <v>64</v>
      </c>
      <c r="E194" s="30">
        <v>0</v>
      </c>
      <c r="F194" s="28">
        <v>0</v>
      </c>
      <c r="G194" s="28">
        <v>839</v>
      </c>
    </row>
    <row r="195" spans="1:7" ht="12.75">
      <c r="A195" s="28">
        <v>818</v>
      </c>
      <c r="B195" s="29" t="s">
        <v>248</v>
      </c>
      <c r="C195" s="28">
        <v>971</v>
      </c>
      <c r="D195" s="261">
        <v>170</v>
      </c>
      <c r="E195" s="30">
        <v>0</v>
      </c>
      <c r="F195" s="28">
        <v>0</v>
      </c>
      <c r="G195" s="28">
        <v>659</v>
      </c>
    </row>
    <row r="196" spans="1:7" ht="12.75">
      <c r="A196" s="28">
        <v>819</v>
      </c>
      <c r="B196" s="29" t="s">
        <v>249</v>
      </c>
      <c r="C196" s="28">
        <v>971</v>
      </c>
      <c r="D196" s="261">
        <v>170</v>
      </c>
      <c r="E196" s="30">
        <v>0</v>
      </c>
      <c r="F196" s="28">
        <v>0</v>
      </c>
      <c r="G196" s="28">
        <v>155</v>
      </c>
    </row>
    <row r="197" spans="1:7" ht="12.75">
      <c r="A197" s="28">
        <v>820</v>
      </c>
      <c r="B197" s="29" t="s">
        <v>250</v>
      </c>
      <c r="C197" s="28">
        <v>1692</v>
      </c>
      <c r="D197" s="261">
        <v>76</v>
      </c>
      <c r="E197" s="30">
        <v>0</v>
      </c>
      <c r="F197" s="28">
        <v>0</v>
      </c>
      <c r="G197" s="28">
        <v>839</v>
      </c>
    </row>
    <row r="198" spans="1:7" ht="12.75">
      <c r="A198" s="28">
        <v>821</v>
      </c>
      <c r="B198" s="29" t="s">
        <v>251</v>
      </c>
      <c r="C198" s="28">
        <v>1592</v>
      </c>
      <c r="D198" s="261">
        <v>89</v>
      </c>
      <c r="E198" s="30">
        <v>0</v>
      </c>
      <c r="F198" s="28">
        <v>0</v>
      </c>
      <c r="G198" s="28">
        <v>839</v>
      </c>
    </row>
    <row r="199" spans="1:7" ht="12.75">
      <c r="A199" s="28">
        <v>822</v>
      </c>
      <c r="B199" s="29" t="s">
        <v>252</v>
      </c>
      <c r="C199" s="28">
        <v>971</v>
      </c>
      <c r="D199" s="261">
        <v>170</v>
      </c>
      <c r="E199" s="30">
        <v>0</v>
      </c>
      <c r="F199" s="28">
        <v>0</v>
      </c>
      <c r="G199" s="28">
        <v>155</v>
      </c>
    </row>
    <row r="200" spans="1:7" ht="12.75">
      <c r="A200" s="28">
        <v>823</v>
      </c>
      <c r="B200" s="29" t="s">
        <v>253</v>
      </c>
      <c r="C200" s="28">
        <v>1700</v>
      </c>
      <c r="D200" s="261">
        <v>75</v>
      </c>
      <c r="E200" s="30">
        <v>0</v>
      </c>
      <c r="F200" s="28">
        <v>0</v>
      </c>
      <c r="G200" s="28">
        <v>657</v>
      </c>
    </row>
    <row r="201" spans="1:7" ht="12.75">
      <c r="A201" s="28">
        <v>824</v>
      </c>
      <c r="B201" s="29" t="s">
        <v>254</v>
      </c>
      <c r="C201" s="28">
        <v>1400</v>
      </c>
      <c r="D201" s="261">
        <v>114</v>
      </c>
      <c r="E201" s="30">
        <v>0</v>
      </c>
      <c r="F201" s="28">
        <v>0</v>
      </c>
      <c r="G201" s="28">
        <v>657</v>
      </c>
    </row>
    <row r="202" spans="1:7" ht="12.75">
      <c r="A202" s="28">
        <v>825</v>
      </c>
      <c r="B202" s="29" t="s">
        <v>255</v>
      </c>
      <c r="C202" s="28">
        <v>1300</v>
      </c>
      <c r="D202" s="261">
        <v>127</v>
      </c>
      <c r="E202" s="30">
        <v>0</v>
      </c>
      <c r="F202" s="28">
        <v>0</v>
      </c>
      <c r="G202" s="28">
        <v>657</v>
      </c>
    </row>
    <row r="203" spans="1:7" ht="12.75">
      <c r="A203" s="28">
        <v>826</v>
      </c>
      <c r="B203" s="29" t="s">
        <v>256</v>
      </c>
      <c r="C203" s="28">
        <v>1250</v>
      </c>
      <c r="D203" s="261">
        <v>134</v>
      </c>
      <c r="E203" s="30">
        <v>0</v>
      </c>
      <c r="F203" s="28">
        <v>0</v>
      </c>
      <c r="G203" s="28">
        <v>657</v>
      </c>
    </row>
    <row r="204" spans="1:7" ht="12.75">
      <c r="A204" s="28">
        <v>827</v>
      </c>
      <c r="B204" s="29" t="s">
        <v>257</v>
      </c>
      <c r="C204" s="28">
        <v>3146</v>
      </c>
      <c r="D204" s="261">
        <v>0</v>
      </c>
      <c r="E204" s="30">
        <v>0</v>
      </c>
      <c r="F204" s="28">
        <v>0</v>
      </c>
      <c r="G204" s="28">
        <v>0</v>
      </c>
    </row>
    <row r="205" spans="1:7" ht="12.75">
      <c r="A205" s="28">
        <v>828</v>
      </c>
      <c r="B205" s="29" t="s">
        <v>258</v>
      </c>
      <c r="C205" s="28">
        <v>2913</v>
      </c>
      <c r="D205" s="261">
        <v>0</v>
      </c>
      <c r="E205" s="30">
        <v>0</v>
      </c>
      <c r="F205" s="28">
        <v>0</v>
      </c>
      <c r="G205" s="28">
        <v>0</v>
      </c>
    </row>
    <row r="206" spans="1:7" ht="12.75">
      <c r="A206" s="28">
        <v>829</v>
      </c>
      <c r="B206" s="29" t="s">
        <v>259</v>
      </c>
      <c r="C206" s="28">
        <v>1942</v>
      </c>
      <c r="D206" s="261">
        <v>43</v>
      </c>
      <c r="E206" s="30">
        <v>0</v>
      </c>
      <c r="F206" s="28">
        <v>0</v>
      </c>
      <c r="G206" s="28">
        <v>0</v>
      </c>
    </row>
    <row r="207" spans="1:7" ht="12.75">
      <c r="A207" s="28">
        <v>830</v>
      </c>
      <c r="B207" s="29" t="s">
        <v>260</v>
      </c>
      <c r="C207" s="28">
        <v>1740</v>
      </c>
      <c r="D207" s="261">
        <v>70</v>
      </c>
      <c r="E207" s="30">
        <v>0</v>
      </c>
      <c r="F207" s="28">
        <v>0</v>
      </c>
      <c r="G207" s="28">
        <v>0</v>
      </c>
    </row>
    <row r="208" spans="1:7" ht="12.75">
      <c r="A208" s="28">
        <v>831</v>
      </c>
      <c r="B208" s="29" t="s">
        <v>261</v>
      </c>
      <c r="C208" s="28">
        <v>971</v>
      </c>
      <c r="D208" s="261">
        <v>170</v>
      </c>
      <c r="E208" s="30">
        <v>0</v>
      </c>
      <c r="F208" s="28">
        <v>0</v>
      </c>
      <c r="G208" s="28">
        <v>0</v>
      </c>
    </row>
    <row r="209" spans="1:7" ht="12.75">
      <c r="A209" s="28">
        <v>832</v>
      </c>
      <c r="B209" s="29" t="s">
        <v>262</v>
      </c>
      <c r="C209" s="28">
        <v>2913</v>
      </c>
      <c r="D209" s="261">
        <v>0</v>
      </c>
      <c r="E209" s="30">
        <v>0</v>
      </c>
      <c r="F209" s="28">
        <v>0</v>
      </c>
      <c r="G209" s="28">
        <v>0</v>
      </c>
    </row>
    <row r="210" spans="1:7" ht="12.75">
      <c r="A210" s="28">
        <v>833</v>
      </c>
      <c r="B210" s="29" t="s">
        <v>263</v>
      </c>
      <c r="C210" s="28">
        <v>971</v>
      </c>
      <c r="D210" s="261">
        <v>170</v>
      </c>
      <c r="E210" s="30">
        <v>0</v>
      </c>
      <c r="F210" s="28">
        <v>0</v>
      </c>
      <c r="G210" s="28">
        <v>155</v>
      </c>
    </row>
    <row r="211" spans="1:7" ht="12.75">
      <c r="A211" s="28">
        <v>834</v>
      </c>
      <c r="B211" s="29" t="s">
        <v>264</v>
      </c>
      <c r="C211" s="28">
        <v>971</v>
      </c>
      <c r="D211" s="261">
        <v>170</v>
      </c>
      <c r="E211" s="30">
        <v>0</v>
      </c>
      <c r="F211" s="28">
        <v>0</v>
      </c>
      <c r="G211" s="28">
        <v>155</v>
      </c>
    </row>
    <row r="212" spans="1:7" ht="12.75">
      <c r="A212" s="28">
        <v>835</v>
      </c>
      <c r="B212" s="29" t="s">
        <v>265</v>
      </c>
      <c r="C212" s="28">
        <v>971</v>
      </c>
      <c r="D212" s="261">
        <v>170</v>
      </c>
      <c r="E212" s="30">
        <v>0</v>
      </c>
      <c r="F212" s="28">
        <v>0</v>
      </c>
      <c r="G212" s="28">
        <v>0</v>
      </c>
    </row>
    <row r="213" spans="1:7" ht="12.75">
      <c r="A213" s="28">
        <v>836</v>
      </c>
      <c r="B213" s="29" t="s">
        <v>266</v>
      </c>
      <c r="C213" s="28">
        <v>971</v>
      </c>
      <c r="D213" s="261">
        <v>170</v>
      </c>
      <c r="E213" s="30">
        <v>0</v>
      </c>
      <c r="F213" s="28">
        <v>0</v>
      </c>
      <c r="G213" s="28">
        <v>155</v>
      </c>
    </row>
    <row r="214" spans="1:7" ht="12.75">
      <c r="A214" s="28">
        <v>837</v>
      </c>
      <c r="B214" s="29" t="s">
        <v>267</v>
      </c>
      <c r="C214" s="28">
        <v>971</v>
      </c>
      <c r="D214" s="261">
        <v>170</v>
      </c>
      <c r="E214" s="30">
        <v>0</v>
      </c>
      <c r="F214" s="28">
        <v>0</v>
      </c>
      <c r="G214" s="28">
        <v>155</v>
      </c>
    </row>
    <row r="215" spans="1:7" ht="12.75">
      <c r="A215" s="28">
        <v>839</v>
      </c>
      <c r="B215" s="29" t="s">
        <v>268</v>
      </c>
      <c r="C215" s="28">
        <v>971</v>
      </c>
      <c r="D215" s="261">
        <v>170</v>
      </c>
      <c r="E215" s="30">
        <v>0</v>
      </c>
      <c r="F215" s="28">
        <v>0</v>
      </c>
      <c r="G215" s="28">
        <v>155</v>
      </c>
    </row>
    <row r="216" spans="1:7" ht="12.75">
      <c r="A216" s="28">
        <v>840</v>
      </c>
      <c r="B216" s="29" t="s">
        <v>269</v>
      </c>
      <c r="C216" s="28">
        <v>971</v>
      </c>
      <c r="D216" s="261">
        <v>170</v>
      </c>
      <c r="E216" s="30">
        <v>0</v>
      </c>
      <c r="F216" s="28">
        <v>0</v>
      </c>
      <c r="G216" s="28">
        <v>155</v>
      </c>
    </row>
    <row r="217" spans="1:7" ht="12.75">
      <c r="A217" s="28">
        <v>842</v>
      </c>
      <c r="B217" s="29" t="s">
        <v>270</v>
      </c>
      <c r="C217" s="28">
        <v>1500</v>
      </c>
      <c r="D217" s="261">
        <v>101</v>
      </c>
      <c r="E217" s="30">
        <v>0</v>
      </c>
      <c r="F217" s="28">
        <v>0</v>
      </c>
      <c r="G217" s="28">
        <v>0</v>
      </c>
    </row>
    <row r="218" spans="1:7" ht="12.75">
      <c r="A218" s="28">
        <v>843</v>
      </c>
      <c r="B218" s="29" t="s">
        <v>271</v>
      </c>
      <c r="C218" s="28">
        <v>1250</v>
      </c>
      <c r="D218" s="261">
        <v>134</v>
      </c>
      <c r="E218" s="30">
        <v>0</v>
      </c>
      <c r="F218" s="28">
        <v>0</v>
      </c>
      <c r="G218" s="28">
        <v>0</v>
      </c>
    </row>
    <row r="219" spans="1:7" ht="12.75">
      <c r="A219" s="28">
        <v>844</v>
      </c>
      <c r="B219" s="29" t="s">
        <v>272</v>
      </c>
      <c r="C219" s="28">
        <v>1660</v>
      </c>
      <c r="D219" s="261">
        <v>80</v>
      </c>
      <c r="E219" s="30">
        <v>0</v>
      </c>
      <c r="F219" s="28">
        <v>0</v>
      </c>
      <c r="G219" s="28">
        <v>0</v>
      </c>
    </row>
    <row r="220" spans="1:7" ht="12.75">
      <c r="A220" s="28">
        <v>849</v>
      </c>
      <c r="B220" s="29" t="s">
        <v>273</v>
      </c>
      <c r="C220" s="28">
        <v>971</v>
      </c>
      <c r="D220" s="261">
        <v>170</v>
      </c>
      <c r="E220" s="30">
        <v>0</v>
      </c>
      <c r="F220" s="28">
        <v>0</v>
      </c>
      <c r="G220" s="28">
        <v>0</v>
      </c>
    </row>
    <row r="221" spans="1:7" ht="12.75">
      <c r="A221" s="28">
        <v>900</v>
      </c>
      <c r="B221" s="29" t="s">
        <v>274</v>
      </c>
      <c r="C221" s="28">
        <v>3146</v>
      </c>
      <c r="D221" s="261">
        <v>0</v>
      </c>
      <c r="E221" s="30">
        <v>0</v>
      </c>
      <c r="F221" s="28">
        <v>0</v>
      </c>
      <c r="G221" s="28">
        <v>0</v>
      </c>
    </row>
    <row r="222" spans="1:7" ht="12.75">
      <c r="A222" s="28">
        <v>901</v>
      </c>
      <c r="B222" s="29" t="s">
        <v>275</v>
      </c>
      <c r="C222" s="28">
        <v>2913</v>
      </c>
      <c r="D222" s="261">
        <v>0</v>
      </c>
      <c r="E222" s="30">
        <v>0</v>
      </c>
      <c r="F222" s="28">
        <v>0</v>
      </c>
      <c r="G222" s="28">
        <v>0</v>
      </c>
    </row>
    <row r="223" spans="1:7" ht="12.75">
      <c r="A223" s="28">
        <v>902</v>
      </c>
      <c r="B223" s="29" t="s">
        <v>276</v>
      </c>
      <c r="C223" s="28">
        <v>2913</v>
      </c>
      <c r="D223" s="261">
        <v>0</v>
      </c>
      <c r="E223" s="30">
        <v>20</v>
      </c>
      <c r="F223" s="28">
        <v>0</v>
      </c>
      <c r="G223" s="28">
        <v>0</v>
      </c>
    </row>
    <row r="224" spans="1:7" ht="12.75">
      <c r="A224" s="28">
        <v>903</v>
      </c>
      <c r="B224" s="29" t="s">
        <v>277</v>
      </c>
      <c r="C224" s="28">
        <v>2913</v>
      </c>
      <c r="D224" s="261">
        <v>0</v>
      </c>
      <c r="E224" s="30">
        <v>0</v>
      </c>
      <c r="F224" s="28">
        <v>0</v>
      </c>
      <c r="G224" s="28">
        <v>0</v>
      </c>
    </row>
    <row r="225" spans="1:7" ht="12.75">
      <c r="A225" s="28">
        <v>904</v>
      </c>
      <c r="B225" s="29" t="s">
        <v>278</v>
      </c>
      <c r="C225" s="28">
        <v>2100</v>
      </c>
      <c r="D225" s="261">
        <v>23</v>
      </c>
      <c r="E225" s="30">
        <v>0</v>
      </c>
      <c r="F225" s="28">
        <v>0</v>
      </c>
      <c r="G225" s="28">
        <v>0</v>
      </c>
    </row>
    <row r="226" spans="1:7" ht="12.75">
      <c r="A226" s="28">
        <v>905</v>
      </c>
      <c r="B226" s="29" t="s">
        <v>279</v>
      </c>
      <c r="C226" s="28">
        <v>1800</v>
      </c>
      <c r="D226" s="261">
        <v>62</v>
      </c>
      <c r="E226" s="30">
        <v>0</v>
      </c>
      <c r="F226" s="28">
        <v>0</v>
      </c>
      <c r="G226" s="28">
        <v>0</v>
      </c>
    </row>
    <row r="227" spans="1:7" ht="12.75">
      <c r="A227" s="28">
        <v>906</v>
      </c>
      <c r="B227" s="29" t="s">
        <v>280</v>
      </c>
      <c r="C227" s="28">
        <v>1942</v>
      </c>
      <c r="D227" s="261">
        <v>43</v>
      </c>
      <c r="E227" s="30">
        <v>0</v>
      </c>
      <c r="F227" s="28">
        <v>0</v>
      </c>
      <c r="G227" s="28">
        <v>0</v>
      </c>
    </row>
    <row r="228" spans="1:7" ht="12.75">
      <c r="A228" s="28">
        <v>907</v>
      </c>
      <c r="B228" s="29" t="s">
        <v>281</v>
      </c>
      <c r="C228" s="28">
        <v>1782</v>
      </c>
      <c r="D228" s="261">
        <v>64</v>
      </c>
      <c r="E228" s="30">
        <v>0</v>
      </c>
      <c r="F228" s="28">
        <v>0</v>
      </c>
      <c r="G228" s="28">
        <v>0</v>
      </c>
    </row>
    <row r="229" spans="1:7" ht="12.75">
      <c r="A229" s="28">
        <v>908</v>
      </c>
      <c r="B229" s="29" t="s">
        <v>282</v>
      </c>
      <c r="C229" s="28">
        <v>1692</v>
      </c>
      <c r="D229" s="261">
        <v>76</v>
      </c>
      <c r="E229" s="30">
        <v>0</v>
      </c>
      <c r="F229" s="28">
        <v>0</v>
      </c>
      <c r="G229" s="28">
        <v>0</v>
      </c>
    </row>
    <row r="230" spans="1:7" ht="12.75">
      <c r="A230" s="28">
        <v>909</v>
      </c>
      <c r="B230" s="29" t="s">
        <v>283</v>
      </c>
      <c r="C230" s="28">
        <v>1592</v>
      </c>
      <c r="D230" s="261">
        <v>89</v>
      </c>
      <c r="E230" s="30">
        <v>0</v>
      </c>
      <c r="F230" s="28">
        <v>0</v>
      </c>
      <c r="G230" s="28">
        <v>0</v>
      </c>
    </row>
    <row r="231" spans="1:7" ht="12.75">
      <c r="A231" s="28">
        <v>910</v>
      </c>
      <c r="B231" s="29" t="s">
        <v>167</v>
      </c>
      <c r="C231" s="28">
        <v>1942</v>
      </c>
      <c r="D231" s="261">
        <v>43</v>
      </c>
      <c r="E231" s="30">
        <v>150</v>
      </c>
      <c r="F231" s="28">
        <v>0</v>
      </c>
      <c r="G231" s="28">
        <v>0</v>
      </c>
    </row>
    <row r="232" spans="1:7" ht="12.75">
      <c r="A232" s="28">
        <v>911</v>
      </c>
      <c r="B232" s="29" t="s">
        <v>177</v>
      </c>
      <c r="C232" s="28">
        <v>1592</v>
      </c>
      <c r="D232" s="261">
        <v>89</v>
      </c>
      <c r="E232" s="30">
        <v>0</v>
      </c>
      <c r="F232" s="28">
        <v>0</v>
      </c>
      <c r="G232" s="28">
        <v>0</v>
      </c>
    </row>
    <row r="233" spans="1:7" ht="12.75">
      <c r="A233" s="28">
        <v>912</v>
      </c>
      <c r="B233" s="29" t="s">
        <v>284</v>
      </c>
      <c r="C233" s="28">
        <v>1782</v>
      </c>
      <c r="D233" s="261">
        <v>64</v>
      </c>
      <c r="E233" s="30">
        <v>17</v>
      </c>
      <c r="F233" s="28">
        <v>0</v>
      </c>
      <c r="G233" s="28">
        <v>0</v>
      </c>
    </row>
    <row r="234" spans="1:7" ht="12.75">
      <c r="A234" s="28">
        <v>913</v>
      </c>
      <c r="B234" s="29" t="s">
        <v>285</v>
      </c>
      <c r="C234" s="28">
        <v>1700</v>
      </c>
      <c r="D234" s="261">
        <v>75</v>
      </c>
      <c r="E234" s="30">
        <v>0</v>
      </c>
      <c r="F234" s="28">
        <v>0</v>
      </c>
      <c r="G234" s="28">
        <v>0</v>
      </c>
    </row>
    <row r="235" spans="1:7" ht="12.75">
      <c r="A235" s="28">
        <v>914</v>
      </c>
      <c r="B235" s="29" t="s">
        <v>286</v>
      </c>
      <c r="C235" s="28">
        <v>1600</v>
      </c>
      <c r="D235" s="261">
        <v>88</v>
      </c>
      <c r="E235" s="30">
        <v>0</v>
      </c>
      <c r="F235" s="28">
        <v>0</v>
      </c>
      <c r="G235" s="28">
        <v>0</v>
      </c>
    </row>
    <row r="236" spans="1:7" ht="12.75">
      <c r="A236" s="28">
        <v>915</v>
      </c>
      <c r="B236" s="29" t="s">
        <v>287</v>
      </c>
      <c r="C236" s="28">
        <v>1700</v>
      </c>
      <c r="D236" s="261">
        <v>75</v>
      </c>
      <c r="E236" s="30">
        <v>150</v>
      </c>
      <c r="F236" s="28">
        <v>0</v>
      </c>
      <c r="G236" s="28">
        <v>0</v>
      </c>
    </row>
    <row r="237" spans="1:7" ht="12.75">
      <c r="A237" s="28">
        <v>916</v>
      </c>
      <c r="B237" s="29" t="s">
        <v>288</v>
      </c>
      <c r="C237" s="28">
        <v>1300</v>
      </c>
      <c r="D237" s="261">
        <v>127</v>
      </c>
      <c r="E237" s="30">
        <v>0</v>
      </c>
      <c r="F237" s="28">
        <v>0</v>
      </c>
      <c r="G237" s="28">
        <v>0</v>
      </c>
    </row>
    <row r="238" spans="1:7" ht="12.75">
      <c r="A238" s="28">
        <v>917</v>
      </c>
      <c r="B238" s="29" t="s">
        <v>289</v>
      </c>
      <c r="C238" s="28">
        <v>971</v>
      </c>
      <c r="D238" s="261">
        <v>170</v>
      </c>
      <c r="E238" s="30">
        <v>0</v>
      </c>
      <c r="F238" s="28">
        <v>0</v>
      </c>
      <c r="G238" s="28">
        <v>0</v>
      </c>
    </row>
    <row r="239" spans="1:7" ht="12.75">
      <c r="A239" s="28">
        <v>918</v>
      </c>
      <c r="B239" s="29" t="s">
        <v>185</v>
      </c>
      <c r="C239" s="28">
        <v>971</v>
      </c>
      <c r="D239" s="261">
        <v>170</v>
      </c>
      <c r="E239" s="30">
        <v>150</v>
      </c>
      <c r="F239" s="28">
        <v>0</v>
      </c>
      <c r="G239" s="28">
        <v>0</v>
      </c>
    </row>
    <row r="240" spans="1:7" ht="12.75">
      <c r="A240" s="28">
        <v>919</v>
      </c>
      <c r="B240" s="29" t="s">
        <v>290</v>
      </c>
      <c r="C240" s="28">
        <v>971</v>
      </c>
      <c r="D240" s="261">
        <v>170</v>
      </c>
      <c r="E240" s="30">
        <v>17</v>
      </c>
      <c r="F240" s="28">
        <v>0</v>
      </c>
      <c r="G240" s="28">
        <v>0</v>
      </c>
    </row>
    <row r="241" spans="1:7" ht="12.75">
      <c r="A241" s="28">
        <v>920</v>
      </c>
      <c r="B241" s="29" t="s">
        <v>291</v>
      </c>
      <c r="C241" s="28">
        <v>971</v>
      </c>
      <c r="D241" s="261">
        <v>170</v>
      </c>
      <c r="E241" s="30">
        <v>150</v>
      </c>
      <c r="F241" s="28">
        <v>0</v>
      </c>
      <c r="G241" s="28">
        <v>0</v>
      </c>
    </row>
    <row r="242" spans="1:7" ht="12.75">
      <c r="A242" s="28">
        <v>921</v>
      </c>
      <c r="B242" s="29" t="s">
        <v>292</v>
      </c>
      <c r="C242" s="28">
        <v>971</v>
      </c>
      <c r="D242" s="261">
        <v>170</v>
      </c>
      <c r="E242" s="30">
        <v>0</v>
      </c>
      <c r="F242" s="28">
        <v>0</v>
      </c>
      <c r="G242" s="28">
        <v>0</v>
      </c>
    </row>
    <row r="243" spans="1:7" ht="12.75">
      <c r="A243" s="28">
        <v>922</v>
      </c>
      <c r="B243" s="29" t="s">
        <v>293</v>
      </c>
      <c r="C243" s="28">
        <v>971</v>
      </c>
      <c r="D243" s="261">
        <v>170</v>
      </c>
      <c r="E243" s="30">
        <v>0</v>
      </c>
      <c r="F243" s="28">
        <v>0</v>
      </c>
      <c r="G243" s="28">
        <v>0</v>
      </c>
    </row>
    <row r="244" spans="1:7" ht="12.75">
      <c r="A244" s="28">
        <v>923</v>
      </c>
      <c r="B244" s="29" t="s">
        <v>294</v>
      </c>
      <c r="C244" s="28">
        <v>971</v>
      </c>
      <c r="D244" s="261">
        <v>170</v>
      </c>
      <c r="E244" s="30">
        <v>0</v>
      </c>
      <c r="F244" s="28">
        <v>0</v>
      </c>
      <c r="G244" s="28">
        <v>0</v>
      </c>
    </row>
    <row r="245" spans="1:7" ht="12.75">
      <c r="A245" s="28">
        <v>924</v>
      </c>
      <c r="B245" s="29" t="s">
        <v>295</v>
      </c>
      <c r="C245" s="28">
        <v>971</v>
      </c>
      <c r="D245" s="261">
        <v>170</v>
      </c>
      <c r="E245" s="30">
        <v>150</v>
      </c>
      <c r="F245" s="28">
        <v>0</v>
      </c>
      <c r="G245" s="28">
        <v>0</v>
      </c>
    </row>
    <row r="246" spans="1:7" ht="12.75">
      <c r="A246" s="28">
        <v>925</v>
      </c>
      <c r="B246" s="29" t="s">
        <v>87</v>
      </c>
      <c r="C246" s="28">
        <v>971</v>
      </c>
      <c r="D246" s="261">
        <v>170</v>
      </c>
      <c r="E246" s="30">
        <v>0</v>
      </c>
      <c r="F246" s="28">
        <v>0</v>
      </c>
      <c r="G246" s="28">
        <v>0</v>
      </c>
    </row>
    <row r="247" spans="1:7" ht="12.75">
      <c r="A247" s="28">
        <v>926</v>
      </c>
      <c r="B247" s="29" t="s">
        <v>209</v>
      </c>
      <c r="C247" s="28">
        <v>1500</v>
      </c>
      <c r="D247" s="261">
        <v>101</v>
      </c>
      <c r="E247" s="30">
        <v>150</v>
      </c>
      <c r="F247" s="28">
        <v>0</v>
      </c>
      <c r="G247" s="28">
        <v>0</v>
      </c>
    </row>
    <row r="248" spans="1:7" ht="12.75">
      <c r="A248" s="28">
        <v>928</v>
      </c>
      <c r="B248" s="29" t="s">
        <v>180</v>
      </c>
      <c r="C248" s="28">
        <v>1500</v>
      </c>
      <c r="D248" s="261">
        <v>101</v>
      </c>
      <c r="E248" s="30">
        <v>150</v>
      </c>
      <c r="F248" s="28">
        <v>0</v>
      </c>
      <c r="G248" s="28">
        <v>0</v>
      </c>
    </row>
    <row r="249" spans="1:7" ht="12.75">
      <c r="A249" s="28">
        <v>929</v>
      </c>
      <c r="B249" s="29" t="s">
        <v>296</v>
      </c>
      <c r="C249" s="28">
        <v>971</v>
      </c>
      <c r="D249" s="261">
        <v>170</v>
      </c>
      <c r="E249" s="30">
        <v>150</v>
      </c>
      <c r="F249" s="28">
        <v>0</v>
      </c>
      <c r="G249" s="28">
        <v>0</v>
      </c>
    </row>
    <row r="250" spans="1:7" ht="12.75">
      <c r="A250" s="28">
        <v>930</v>
      </c>
      <c r="B250" s="29" t="s">
        <v>297</v>
      </c>
      <c r="C250" s="28">
        <v>1592</v>
      </c>
      <c r="D250" s="261">
        <v>89</v>
      </c>
      <c r="E250" s="30">
        <v>0</v>
      </c>
      <c r="F250" s="28">
        <v>0</v>
      </c>
      <c r="G250" s="28">
        <v>0</v>
      </c>
    </row>
    <row r="251" spans="1:7" ht="12.75">
      <c r="A251" s="28">
        <v>931</v>
      </c>
      <c r="B251" s="29" t="s">
        <v>298</v>
      </c>
      <c r="C251" s="28">
        <v>971</v>
      </c>
      <c r="D251" s="261">
        <v>170</v>
      </c>
      <c r="E251" s="30">
        <v>0</v>
      </c>
      <c r="F251" s="28">
        <v>0</v>
      </c>
      <c r="G251" s="28">
        <v>0</v>
      </c>
    </row>
    <row r="252" spans="1:7" ht="12.75">
      <c r="A252" s="28">
        <v>932</v>
      </c>
      <c r="B252" s="29" t="s">
        <v>299</v>
      </c>
      <c r="C252" s="28">
        <v>2220</v>
      </c>
      <c r="D252" s="261">
        <v>7</v>
      </c>
      <c r="E252" s="30">
        <v>0</v>
      </c>
      <c r="F252" s="28">
        <v>0</v>
      </c>
      <c r="G252" s="28">
        <v>0</v>
      </c>
    </row>
    <row r="253" spans="1:7" ht="12.75">
      <c r="A253" s="38">
        <v>933</v>
      </c>
      <c r="B253" s="39" t="s">
        <v>300</v>
      </c>
      <c r="C253" s="38">
        <v>1580</v>
      </c>
      <c r="D253" s="261">
        <v>90</v>
      </c>
      <c r="E253" s="40">
        <v>0</v>
      </c>
      <c r="F253" s="38">
        <v>0</v>
      </c>
      <c r="G253" s="38">
        <v>0</v>
      </c>
    </row>
    <row r="254" spans="1:7" ht="12.75">
      <c r="A254" s="28">
        <v>934</v>
      </c>
      <c r="B254" s="29" t="s">
        <v>301</v>
      </c>
      <c r="C254" s="28">
        <v>922</v>
      </c>
      <c r="D254" s="261">
        <v>176</v>
      </c>
      <c r="E254" s="30">
        <v>0</v>
      </c>
      <c r="F254" s="28">
        <v>0</v>
      </c>
      <c r="G254" s="28">
        <v>0</v>
      </c>
    </row>
    <row r="255" spans="1:7" ht="12.75">
      <c r="A255" s="28">
        <v>935</v>
      </c>
      <c r="B255" s="29" t="s">
        <v>302</v>
      </c>
      <c r="C255" s="28">
        <v>971</v>
      </c>
      <c r="D255" s="261">
        <v>170</v>
      </c>
      <c r="E255" s="30">
        <v>0</v>
      </c>
      <c r="F255" s="28">
        <v>0</v>
      </c>
      <c r="G255" s="28">
        <v>0</v>
      </c>
    </row>
    <row r="256" spans="1:7" ht="12.75">
      <c r="A256" s="28">
        <v>936</v>
      </c>
      <c r="B256" s="29" t="s">
        <v>303</v>
      </c>
      <c r="C256" s="28">
        <v>1250</v>
      </c>
      <c r="D256" s="261">
        <v>134</v>
      </c>
      <c r="E256" s="30">
        <v>0</v>
      </c>
      <c r="F256" s="28">
        <v>0</v>
      </c>
      <c r="G256" s="28">
        <v>0</v>
      </c>
    </row>
    <row r="257" spans="1:7" ht="12.75">
      <c r="A257" s="35">
        <v>937</v>
      </c>
      <c r="B257" s="36" t="s">
        <v>304</v>
      </c>
      <c r="C257" s="35">
        <v>971</v>
      </c>
      <c r="D257" s="261">
        <v>170</v>
      </c>
      <c r="E257" s="37">
        <v>0</v>
      </c>
      <c r="F257" s="35">
        <v>0</v>
      </c>
      <c r="G257" s="35">
        <v>0</v>
      </c>
    </row>
    <row r="258" spans="1:7" ht="12.75">
      <c r="A258" s="28">
        <v>940</v>
      </c>
      <c r="B258" s="29" t="s">
        <v>305</v>
      </c>
      <c r="C258" s="28">
        <v>1692</v>
      </c>
      <c r="D258" s="261">
        <v>76</v>
      </c>
      <c r="E258" s="30">
        <v>0</v>
      </c>
      <c r="F258" s="28">
        <v>0</v>
      </c>
      <c r="G258" s="28">
        <v>0</v>
      </c>
    </row>
    <row r="259" spans="1:7" ht="12.75">
      <c r="A259" s="28">
        <v>941</v>
      </c>
      <c r="B259" s="29" t="s">
        <v>306</v>
      </c>
      <c r="C259" s="28">
        <v>1942</v>
      </c>
      <c r="D259" s="261">
        <v>43</v>
      </c>
      <c r="E259" s="30">
        <v>0</v>
      </c>
      <c r="F259" s="28">
        <v>0</v>
      </c>
      <c r="G259" s="28">
        <v>0</v>
      </c>
    </row>
    <row r="260" spans="1:7" ht="12.75">
      <c r="A260" s="28">
        <v>942</v>
      </c>
      <c r="B260" s="29" t="s">
        <v>307</v>
      </c>
      <c r="C260" s="28">
        <v>1782</v>
      </c>
      <c r="D260" s="261">
        <v>64</v>
      </c>
      <c r="E260" s="30">
        <v>0</v>
      </c>
      <c r="F260" s="28">
        <v>0</v>
      </c>
      <c r="G260" s="28">
        <v>0</v>
      </c>
    </row>
    <row r="261" spans="1:7" ht="12.75">
      <c r="A261" s="28">
        <v>943</v>
      </c>
      <c r="B261" s="29" t="s">
        <v>208</v>
      </c>
      <c r="C261" s="28">
        <v>1500</v>
      </c>
      <c r="D261" s="261">
        <v>101</v>
      </c>
      <c r="E261" s="30">
        <v>150</v>
      </c>
      <c r="F261" s="28">
        <v>0</v>
      </c>
      <c r="G261" s="28">
        <v>0</v>
      </c>
    </row>
    <row r="262" spans="1:7" ht="12.75">
      <c r="A262" s="28">
        <v>944</v>
      </c>
      <c r="B262" s="29" t="s">
        <v>308</v>
      </c>
      <c r="C262" s="28">
        <v>1400</v>
      </c>
      <c r="D262" s="261">
        <v>114</v>
      </c>
      <c r="E262" s="30">
        <v>0</v>
      </c>
      <c r="F262" s="28">
        <v>0</v>
      </c>
      <c r="G262" s="28">
        <v>0</v>
      </c>
    </row>
    <row r="263" spans="1:7" ht="12.75">
      <c r="A263" s="28">
        <v>945</v>
      </c>
      <c r="B263" s="29" t="s">
        <v>309</v>
      </c>
      <c r="C263" s="28">
        <v>1782</v>
      </c>
      <c r="D263" s="261">
        <v>64</v>
      </c>
      <c r="E263" s="30">
        <v>0</v>
      </c>
      <c r="F263" s="28">
        <v>0</v>
      </c>
      <c r="G263" s="28">
        <v>669</v>
      </c>
    </row>
    <row r="264" spans="1:7" ht="12.75">
      <c r="A264" s="28">
        <v>946</v>
      </c>
      <c r="B264" s="29" t="s">
        <v>243</v>
      </c>
      <c r="C264" s="28">
        <v>971</v>
      </c>
      <c r="D264" s="261">
        <v>170</v>
      </c>
      <c r="E264" s="30">
        <v>0</v>
      </c>
      <c r="F264" s="28">
        <v>0</v>
      </c>
      <c r="G264" s="28">
        <v>620</v>
      </c>
    </row>
    <row r="265" spans="1:7" ht="12.75">
      <c r="A265" s="28">
        <v>947</v>
      </c>
      <c r="B265" s="29" t="s">
        <v>310</v>
      </c>
      <c r="C265" s="28">
        <v>971</v>
      </c>
      <c r="D265" s="261">
        <v>170</v>
      </c>
      <c r="E265" s="30">
        <v>0</v>
      </c>
      <c r="F265" s="28">
        <v>0</v>
      </c>
      <c r="G265" s="28">
        <v>155</v>
      </c>
    </row>
    <row r="266" spans="1:7" ht="12.75">
      <c r="A266" s="28">
        <v>951</v>
      </c>
      <c r="B266" s="29" t="s">
        <v>195</v>
      </c>
      <c r="C266" s="28">
        <v>1500</v>
      </c>
      <c r="D266" s="261">
        <v>101</v>
      </c>
      <c r="E266" s="30">
        <v>150</v>
      </c>
      <c r="F266" s="28">
        <v>0</v>
      </c>
      <c r="G266" s="28">
        <v>0</v>
      </c>
    </row>
    <row r="267" spans="1:7" ht="12.75">
      <c r="A267" s="28">
        <v>952</v>
      </c>
      <c r="B267" s="29" t="s">
        <v>311</v>
      </c>
      <c r="C267" s="28">
        <v>971</v>
      </c>
      <c r="D267" s="261">
        <v>170</v>
      </c>
      <c r="E267" s="30">
        <v>0</v>
      </c>
      <c r="F267" s="28">
        <v>0</v>
      </c>
      <c r="G267" s="28">
        <v>155</v>
      </c>
    </row>
    <row r="268" spans="1:7" ht="12.75">
      <c r="A268" s="28">
        <v>953</v>
      </c>
      <c r="B268" s="29" t="s">
        <v>312</v>
      </c>
      <c r="C268" s="28">
        <v>971</v>
      </c>
      <c r="D268" s="261">
        <v>170</v>
      </c>
      <c r="E268" s="30">
        <v>0</v>
      </c>
      <c r="F268" s="28">
        <v>0</v>
      </c>
      <c r="G268" s="28">
        <v>155</v>
      </c>
    </row>
    <row r="269" spans="1:7" ht="12.75">
      <c r="A269" s="28">
        <v>954</v>
      </c>
      <c r="B269" s="29" t="s">
        <v>313</v>
      </c>
      <c r="C269" s="28">
        <v>1600</v>
      </c>
      <c r="D269" s="261">
        <v>88</v>
      </c>
      <c r="E269" s="30">
        <v>0</v>
      </c>
      <c r="F269" s="28">
        <v>0</v>
      </c>
      <c r="G269" s="28">
        <v>657</v>
      </c>
    </row>
    <row r="270" spans="1:7" ht="12.75">
      <c r="A270" s="28">
        <v>955</v>
      </c>
      <c r="B270" s="29" t="s">
        <v>229</v>
      </c>
      <c r="C270" s="28">
        <v>971</v>
      </c>
      <c r="D270" s="261">
        <v>170</v>
      </c>
      <c r="E270" s="30">
        <v>0</v>
      </c>
      <c r="F270" s="28">
        <v>0</v>
      </c>
      <c r="G270" s="28">
        <v>0</v>
      </c>
    </row>
    <row r="271" spans="1:7" ht="12.75">
      <c r="A271" s="28">
        <v>956</v>
      </c>
      <c r="B271" s="29" t="s">
        <v>314</v>
      </c>
      <c r="C271" s="28">
        <v>1692</v>
      </c>
      <c r="D271" s="261">
        <v>76</v>
      </c>
      <c r="E271" s="30">
        <v>0</v>
      </c>
      <c r="F271" s="28">
        <v>0</v>
      </c>
      <c r="G271" s="28">
        <v>663</v>
      </c>
    </row>
    <row r="272" spans="1:7" ht="12.75">
      <c r="A272" s="28">
        <v>957</v>
      </c>
      <c r="B272" s="29" t="s">
        <v>315</v>
      </c>
      <c r="C272" s="28">
        <v>1700</v>
      </c>
      <c r="D272" s="261">
        <v>75</v>
      </c>
      <c r="E272" s="30">
        <v>0</v>
      </c>
      <c r="F272" s="28">
        <v>0</v>
      </c>
      <c r="G272" s="28">
        <v>0</v>
      </c>
    </row>
    <row r="273" spans="1:7" ht="12.75">
      <c r="A273" s="28">
        <v>958</v>
      </c>
      <c r="B273" s="29" t="s">
        <v>316</v>
      </c>
      <c r="C273" s="28">
        <v>2913</v>
      </c>
      <c r="D273" s="261">
        <v>0</v>
      </c>
      <c r="E273" s="30">
        <v>0</v>
      </c>
      <c r="F273" s="28">
        <v>0</v>
      </c>
      <c r="G273" s="28">
        <v>0</v>
      </c>
    </row>
    <row r="274" spans="1:7" ht="12.75">
      <c r="A274" s="28">
        <v>959</v>
      </c>
      <c r="B274" s="29" t="s">
        <v>317</v>
      </c>
      <c r="C274" s="28">
        <v>2220</v>
      </c>
      <c r="D274" s="261">
        <v>7</v>
      </c>
      <c r="E274" s="30">
        <v>0</v>
      </c>
      <c r="F274" s="28">
        <v>0</v>
      </c>
      <c r="G274" s="28">
        <v>0</v>
      </c>
    </row>
    <row r="275" spans="1:7" ht="12.75">
      <c r="A275" s="28">
        <v>960</v>
      </c>
      <c r="B275" s="29" t="s">
        <v>318</v>
      </c>
      <c r="C275" s="28">
        <v>1750</v>
      </c>
      <c r="D275" s="261">
        <v>68</v>
      </c>
      <c r="E275" s="30">
        <v>0</v>
      </c>
      <c r="F275" s="28">
        <v>0</v>
      </c>
      <c r="G275" s="28">
        <v>0</v>
      </c>
    </row>
    <row r="276" spans="1:7" ht="12.75">
      <c r="A276" s="28">
        <v>961</v>
      </c>
      <c r="B276" s="29" t="s">
        <v>319</v>
      </c>
      <c r="C276" s="28">
        <v>1580</v>
      </c>
      <c r="D276" s="261">
        <v>90</v>
      </c>
      <c r="E276" s="30">
        <v>0</v>
      </c>
      <c r="F276" s="28">
        <v>0</v>
      </c>
      <c r="G276" s="28">
        <v>0</v>
      </c>
    </row>
    <row r="277" spans="1:7" ht="12.75">
      <c r="A277" s="28">
        <v>962</v>
      </c>
      <c r="B277" s="29" t="s">
        <v>320</v>
      </c>
      <c r="C277" s="28">
        <v>1580</v>
      </c>
      <c r="D277" s="261">
        <v>90</v>
      </c>
      <c r="E277" s="30">
        <v>0</v>
      </c>
      <c r="F277" s="28">
        <v>0</v>
      </c>
      <c r="G277" s="28">
        <v>0</v>
      </c>
    </row>
    <row r="278" spans="1:7" ht="12.75">
      <c r="A278" s="28">
        <v>963</v>
      </c>
      <c r="B278" s="29" t="s">
        <v>321</v>
      </c>
      <c r="C278" s="28">
        <v>951</v>
      </c>
      <c r="D278" s="261">
        <v>173</v>
      </c>
      <c r="E278" s="30">
        <v>0</v>
      </c>
      <c r="F278" s="28">
        <v>0</v>
      </c>
      <c r="G278" s="28">
        <v>0</v>
      </c>
    </row>
    <row r="279" spans="1:7" ht="12.75">
      <c r="A279" s="28">
        <v>965</v>
      </c>
      <c r="B279" s="29" t="s">
        <v>322</v>
      </c>
      <c r="C279" s="28">
        <v>2913</v>
      </c>
      <c r="D279" s="261">
        <v>0</v>
      </c>
      <c r="E279" s="30">
        <v>0</v>
      </c>
      <c r="F279" s="28">
        <v>0</v>
      </c>
      <c r="G279" s="28">
        <v>0</v>
      </c>
    </row>
    <row r="280" spans="1:7" ht="12.75">
      <c r="A280" s="28">
        <v>966</v>
      </c>
      <c r="B280" s="29" t="s">
        <v>323</v>
      </c>
      <c r="C280" s="28">
        <v>1850</v>
      </c>
      <c r="D280" s="261">
        <v>55</v>
      </c>
      <c r="E280" s="30">
        <v>0</v>
      </c>
      <c r="F280" s="28">
        <v>0</v>
      </c>
      <c r="G280" s="28">
        <v>0</v>
      </c>
    </row>
    <row r="281" spans="1:7" ht="12.75">
      <c r="A281" s="28">
        <v>967</v>
      </c>
      <c r="B281" s="29" t="s">
        <v>324</v>
      </c>
      <c r="C281" s="28">
        <v>1564</v>
      </c>
      <c r="D281" s="261">
        <v>93</v>
      </c>
      <c r="E281" s="30">
        <v>0</v>
      </c>
      <c r="F281" s="28">
        <v>0</v>
      </c>
      <c r="G281" s="28">
        <v>0</v>
      </c>
    </row>
    <row r="282" spans="1:7" ht="12.75">
      <c r="A282" s="28">
        <v>968</v>
      </c>
      <c r="B282" s="29" t="s">
        <v>270</v>
      </c>
      <c r="C282" s="28">
        <v>1500</v>
      </c>
      <c r="D282" s="261">
        <v>101</v>
      </c>
      <c r="E282" s="30">
        <v>0</v>
      </c>
      <c r="F282" s="28">
        <v>0</v>
      </c>
      <c r="G282" s="28">
        <v>0</v>
      </c>
    </row>
    <row r="283" spans="1:7" ht="12.75">
      <c r="A283" s="28">
        <v>969</v>
      </c>
      <c r="B283" s="29" t="s">
        <v>325</v>
      </c>
      <c r="C283" s="28">
        <v>971</v>
      </c>
      <c r="D283" s="261">
        <v>170</v>
      </c>
      <c r="E283" s="30">
        <v>150</v>
      </c>
      <c r="F283" s="28">
        <v>0</v>
      </c>
      <c r="G283" s="28">
        <v>0</v>
      </c>
    </row>
    <row r="284" spans="1:7" ht="12.75">
      <c r="A284" s="28">
        <v>970</v>
      </c>
      <c r="B284" s="29" t="s">
        <v>326</v>
      </c>
      <c r="C284" s="28">
        <v>1480</v>
      </c>
      <c r="D284" s="261">
        <v>104</v>
      </c>
      <c r="E284" s="30">
        <v>0</v>
      </c>
      <c r="F284" s="28">
        <v>0</v>
      </c>
      <c r="G284" s="28">
        <v>0</v>
      </c>
    </row>
    <row r="285" spans="1:7" ht="12.75">
      <c r="A285" s="28">
        <v>971</v>
      </c>
      <c r="B285" s="29" t="s">
        <v>327</v>
      </c>
      <c r="C285" s="28">
        <v>1400</v>
      </c>
      <c r="D285" s="261">
        <v>114</v>
      </c>
      <c r="E285" s="30">
        <v>150</v>
      </c>
      <c r="F285" s="28">
        <v>0</v>
      </c>
      <c r="G285" s="28">
        <v>0</v>
      </c>
    </row>
    <row r="286" spans="1:7" ht="12.75">
      <c r="A286" s="28">
        <v>972</v>
      </c>
      <c r="B286" s="29" t="s">
        <v>328</v>
      </c>
      <c r="C286" s="28">
        <v>1692</v>
      </c>
      <c r="D286" s="261">
        <v>76</v>
      </c>
      <c r="E286" s="30">
        <v>17</v>
      </c>
      <c r="F286" s="28">
        <v>0</v>
      </c>
      <c r="G286" s="28">
        <v>0</v>
      </c>
    </row>
    <row r="287" spans="1:7" ht="12.75">
      <c r="A287" s="28">
        <v>973</v>
      </c>
      <c r="B287" s="29" t="s">
        <v>329</v>
      </c>
      <c r="C287" s="28">
        <v>1592</v>
      </c>
      <c r="D287" s="261">
        <v>89</v>
      </c>
      <c r="E287" s="30">
        <v>17</v>
      </c>
      <c r="F287" s="28">
        <v>0</v>
      </c>
      <c r="G287" s="28">
        <v>0</v>
      </c>
    </row>
    <row r="288" spans="1:7" ht="12.75">
      <c r="A288" s="28">
        <v>974</v>
      </c>
      <c r="B288" s="29" t="s">
        <v>330</v>
      </c>
      <c r="C288" s="28">
        <v>1500</v>
      </c>
      <c r="D288" s="261">
        <v>101</v>
      </c>
      <c r="E288" s="30">
        <v>150</v>
      </c>
      <c r="F288" s="28">
        <v>0</v>
      </c>
      <c r="G288" s="28">
        <v>0</v>
      </c>
    </row>
    <row r="289" spans="1:7" ht="12.75">
      <c r="A289" s="28">
        <v>975</v>
      </c>
      <c r="B289" s="29" t="s">
        <v>331</v>
      </c>
      <c r="C289" s="28">
        <v>971</v>
      </c>
      <c r="D289" s="261">
        <v>170</v>
      </c>
      <c r="E289" s="30">
        <v>0</v>
      </c>
      <c r="F289" s="28">
        <v>0</v>
      </c>
      <c r="G289" s="28">
        <v>0</v>
      </c>
    </row>
    <row r="290" spans="1:7" ht="12.75">
      <c r="A290" s="28">
        <v>976</v>
      </c>
      <c r="B290" s="29" t="s">
        <v>332</v>
      </c>
      <c r="C290" s="28">
        <v>971</v>
      </c>
      <c r="D290" s="261">
        <v>170</v>
      </c>
      <c r="E290" s="30">
        <v>0</v>
      </c>
      <c r="F290" s="28">
        <v>0</v>
      </c>
      <c r="G290" s="28">
        <v>0</v>
      </c>
    </row>
    <row r="291" spans="1:7" ht="12.75">
      <c r="A291" s="28">
        <v>977</v>
      </c>
      <c r="B291" s="29" t="s">
        <v>333</v>
      </c>
      <c r="C291" s="28">
        <v>971</v>
      </c>
      <c r="D291" s="261">
        <v>170</v>
      </c>
      <c r="E291" s="30">
        <v>0</v>
      </c>
      <c r="F291" s="28">
        <v>0</v>
      </c>
      <c r="G291" s="28">
        <v>0</v>
      </c>
    </row>
    <row r="292" spans="1:7" ht="12.75">
      <c r="A292" s="28">
        <v>978</v>
      </c>
      <c r="B292" s="29" t="s">
        <v>334</v>
      </c>
      <c r="C292" s="28">
        <v>1840</v>
      </c>
      <c r="D292" s="261">
        <v>57</v>
      </c>
      <c r="E292" s="30">
        <v>0</v>
      </c>
      <c r="F292" s="28">
        <v>0</v>
      </c>
      <c r="G292" s="28">
        <v>0</v>
      </c>
    </row>
    <row r="293" spans="1:7" ht="12.75">
      <c r="A293" s="28">
        <v>979</v>
      </c>
      <c r="B293" s="29" t="s">
        <v>335</v>
      </c>
      <c r="C293" s="28">
        <v>1740</v>
      </c>
      <c r="D293" s="261">
        <v>70</v>
      </c>
      <c r="E293" s="30">
        <v>0</v>
      </c>
      <c r="F293" s="28">
        <v>0</v>
      </c>
      <c r="G293" s="28">
        <v>0</v>
      </c>
    </row>
    <row r="294" spans="1:7" ht="12.75">
      <c r="A294" s="28">
        <v>980</v>
      </c>
      <c r="B294" s="29" t="s">
        <v>336</v>
      </c>
      <c r="C294" s="28">
        <v>574</v>
      </c>
      <c r="D294" s="261">
        <v>222</v>
      </c>
      <c r="E294" s="30">
        <v>0</v>
      </c>
      <c r="F294" s="28">
        <v>0</v>
      </c>
      <c r="G294" s="28">
        <v>0</v>
      </c>
    </row>
    <row r="295" spans="1:7" ht="12.75">
      <c r="A295" s="28">
        <v>981</v>
      </c>
      <c r="B295" s="29" t="s">
        <v>337</v>
      </c>
      <c r="C295" s="28">
        <v>1782</v>
      </c>
      <c r="D295" s="261">
        <v>64</v>
      </c>
      <c r="E295" s="30">
        <v>0</v>
      </c>
      <c r="F295" s="28">
        <v>0</v>
      </c>
      <c r="G295" s="28">
        <v>0</v>
      </c>
    </row>
    <row r="296" spans="1:7" ht="12.75">
      <c r="A296" s="28">
        <v>982</v>
      </c>
      <c r="B296" s="29" t="s">
        <v>338</v>
      </c>
      <c r="C296" s="28">
        <v>1740</v>
      </c>
      <c r="D296" s="261">
        <v>70</v>
      </c>
      <c r="E296" s="30">
        <v>0</v>
      </c>
      <c r="F296" s="28">
        <v>0</v>
      </c>
      <c r="G296" s="28">
        <v>0</v>
      </c>
    </row>
    <row r="297" spans="1:7" ht="12.75">
      <c r="A297" s="28">
        <v>983</v>
      </c>
      <c r="B297" s="29" t="s">
        <v>339</v>
      </c>
      <c r="C297" s="28">
        <v>1170</v>
      </c>
      <c r="D297" s="261">
        <v>144</v>
      </c>
      <c r="E297" s="30">
        <v>0</v>
      </c>
      <c r="F297" s="28">
        <v>0</v>
      </c>
      <c r="G297" s="28">
        <v>0</v>
      </c>
    </row>
    <row r="298" spans="1:7" ht="12.75">
      <c r="A298" s="28">
        <v>984</v>
      </c>
      <c r="B298" s="29" t="s">
        <v>340</v>
      </c>
      <c r="C298" s="28">
        <v>690</v>
      </c>
      <c r="D298" s="261">
        <v>207</v>
      </c>
      <c r="E298" s="30">
        <v>0</v>
      </c>
      <c r="F298" s="28">
        <v>0</v>
      </c>
      <c r="G298" s="28">
        <v>0</v>
      </c>
    </row>
    <row r="299" spans="1:7" ht="12.75">
      <c r="A299" s="28">
        <v>985</v>
      </c>
      <c r="B299" s="29" t="s">
        <v>341</v>
      </c>
      <c r="C299" s="28">
        <v>2913</v>
      </c>
      <c r="D299" s="261">
        <v>0</v>
      </c>
      <c r="E299" s="30">
        <v>0</v>
      </c>
      <c r="F299" s="28">
        <v>0</v>
      </c>
      <c r="G299" s="28">
        <v>0</v>
      </c>
    </row>
    <row r="300" spans="1:7" ht="12.75">
      <c r="A300" s="28">
        <v>986</v>
      </c>
      <c r="B300" s="29" t="s">
        <v>342</v>
      </c>
      <c r="C300" s="28">
        <v>644</v>
      </c>
      <c r="D300" s="261">
        <v>213</v>
      </c>
      <c r="E300" s="30">
        <v>0</v>
      </c>
      <c r="F300" s="28">
        <v>0</v>
      </c>
      <c r="G300" s="28">
        <v>0</v>
      </c>
    </row>
    <row r="301" spans="1:7" ht="12.75">
      <c r="A301" s="28">
        <v>987</v>
      </c>
      <c r="B301" s="29" t="s">
        <v>184</v>
      </c>
      <c r="C301" s="28">
        <v>1170</v>
      </c>
      <c r="D301" s="261">
        <v>144</v>
      </c>
      <c r="E301" s="30">
        <v>0</v>
      </c>
      <c r="F301" s="28">
        <v>0</v>
      </c>
      <c r="G301" s="28">
        <v>0</v>
      </c>
    </row>
    <row r="302" spans="1:7" ht="12.75">
      <c r="A302" s="28">
        <v>988</v>
      </c>
      <c r="B302" s="29" t="s">
        <v>343</v>
      </c>
      <c r="C302" s="28">
        <v>2600</v>
      </c>
      <c r="D302" s="261">
        <v>0</v>
      </c>
      <c r="E302" s="30">
        <v>0</v>
      </c>
      <c r="F302" s="28">
        <v>0</v>
      </c>
      <c r="G302" s="28">
        <v>0</v>
      </c>
    </row>
    <row r="303" spans="1:7" ht="12.75">
      <c r="A303" s="28">
        <v>989</v>
      </c>
      <c r="B303" s="29" t="s">
        <v>344</v>
      </c>
      <c r="C303" s="28">
        <v>2840</v>
      </c>
      <c r="D303" s="261">
        <v>0</v>
      </c>
      <c r="E303" s="30">
        <v>0</v>
      </c>
      <c r="F303" s="28">
        <v>0</v>
      </c>
      <c r="G303" s="28">
        <v>0</v>
      </c>
    </row>
    <row r="304" spans="1:7" ht="12.75">
      <c r="A304" s="28">
        <v>990</v>
      </c>
      <c r="B304" s="29" t="s">
        <v>345</v>
      </c>
      <c r="C304" s="28">
        <v>2100</v>
      </c>
      <c r="D304" s="261">
        <v>23</v>
      </c>
      <c r="E304" s="30">
        <v>0</v>
      </c>
      <c r="F304" s="28">
        <v>0</v>
      </c>
      <c r="G304" s="28">
        <v>0</v>
      </c>
    </row>
    <row r="305" spans="1:7" ht="12.75">
      <c r="A305" s="28">
        <v>991</v>
      </c>
      <c r="B305" s="29" t="s">
        <v>346</v>
      </c>
      <c r="C305" s="28">
        <v>1850</v>
      </c>
      <c r="D305" s="261">
        <v>55</v>
      </c>
      <c r="E305" s="30">
        <v>0</v>
      </c>
      <c r="F305" s="28">
        <v>0</v>
      </c>
      <c r="G305" s="28">
        <v>0</v>
      </c>
    </row>
    <row r="306" spans="1:7" ht="12.75">
      <c r="A306" s="28">
        <v>992</v>
      </c>
      <c r="B306" s="29" t="s">
        <v>347</v>
      </c>
      <c r="C306" s="28">
        <v>2840</v>
      </c>
      <c r="D306" s="261">
        <v>0</v>
      </c>
      <c r="E306" s="30">
        <v>0</v>
      </c>
      <c r="F306" s="28">
        <v>0</v>
      </c>
      <c r="G306" s="28">
        <v>0</v>
      </c>
    </row>
    <row r="307" spans="1:7" ht="12.75">
      <c r="A307" s="28">
        <v>993</v>
      </c>
      <c r="B307" s="29" t="s">
        <v>348</v>
      </c>
      <c r="C307" s="28">
        <v>2913</v>
      </c>
      <c r="D307" s="261">
        <v>0</v>
      </c>
      <c r="E307" s="30">
        <v>0</v>
      </c>
      <c r="F307" s="28">
        <v>0</v>
      </c>
      <c r="G307" s="28">
        <v>0</v>
      </c>
    </row>
    <row r="308" spans="1:7" ht="12.75">
      <c r="A308" s="28">
        <v>994</v>
      </c>
      <c r="B308" s="29" t="s">
        <v>349</v>
      </c>
      <c r="C308" s="28">
        <v>1580</v>
      </c>
      <c r="D308" s="261">
        <v>90</v>
      </c>
      <c r="E308" s="30">
        <v>0</v>
      </c>
      <c r="F308" s="28">
        <v>0</v>
      </c>
      <c r="G308" s="28">
        <v>0</v>
      </c>
    </row>
    <row r="309" spans="1:7" ht="12.75">
      <c r="A309" s="28">
        <v>995</v>
      </c>
      <c r="B309" s="29" t="s">
        <v>350</v>
      </c>
      <c r="C309" s="28">
        <v>1564</v>
      </c>
      <c r="D309" s="261">
        <v>93</v>
      </c>
      <c r="E309" s="30">
        <v>0</v>
      </c>
      <c r="F309" s="28">
        <v>0</v>
      </c>
      <c r="G309" s="28">
        <v>0</v>
      </c>
    </row>
    <row r="310" spans="1:7" ht="12.75">
      <c r="A310" s="28">
        <v>996</v>
      </c>
      <c r="B310" s="29" t="s">
        <v>87</v>
      </c>
      <c r="C310" s="28">
        <v>1480</v>
      </c>
      <c r="D310" s="261">
        <v>104</v>
      </c>
      <c r="E310" s="30">
        <v>0</v>
      </c>
      <c r="F310" s="28">
        <v>0</v>
      </c>
      <c r="G310" s="28">
        <v>0</v>
      </c>
    </row>
    <row r="311" spans="1:7" ht="12.75">
      <c r="A311" s="28">
        <v>997</v>
      </c>
      <c r="B311" s="29" t="s">
        <v>351</v>
      </c>
      <c r="C311" s="28">
        <v>1564</v>
      </c>
      <c r="D311" s="261">
        <v>93</v>
      </c>
      <c r="E311" s="30">
        <v>0</v>
      </c>
      <c r="F311" s="28">
        <v>0</v>
      </c>
      <c r="G311" s="28">
        <v>0</v>
      </c>
    </row>
    <row r="312" spans="1:7" ht="12.75">
      <c r="A312" s="28">
        <v>998</v>
      </c>
      <c r="B312" s="29" t="s">
        <v>352</v>
      </c>
      <c r="C312" s="28">
        <v>2220</v>
      </c>
      <c r="D312" s="261">
        <v>7</v>
      </c>
      <c r="E312" s="30">
        <v>0</v>
      </c>
      <c r="F312" s="28">
        <v>0</v>
      </c>
      <c r="G312" s="28">
        <v>0</v>
      </c>
    </row>
    <row r="313" spans="1:7" ht="12.75">
      <c r="A313" s="28">
        <v>999</v>
      </c>
      <c r="B313" s="29" t="s">
        <v>353</v>
      </c>
      <c r="C313" s="28">
        <v>3146</v>
      </c>
      <c r="D313" s="261">
        <v>0</v>
      </c>
      <c r="E313" s="30">
        <v>0</v>
      </c>
      <c r="F313" s="28">
        <v>0</v>
      </c>
      <c r="G313" s="28">
        <v>0</v>
      </c>
    </row>
    <row r="314" spans="1:7" ht="13.5" thickBot="1">
      <c r="A314" s="28">
        <v>666</v>
      </c>
      <c r="B314" s="29" t="s">
        <v>354</v>
      </c>
      <c r="C314" s="28" t="s">
        <v>355</v>
      </c>
      <c r="D314" s="261">
        <v>0</v>
      </c>
      <c r="E314" s="41">
        <v>0</v>
      </c>
      <c r="F314" s="42">
        <v>0</v>
      </c>
      <c r="G314" s="42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2008-09-03T05:53:26Z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