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9540" windowHeight="6495" activeTab="0"/>
  </bookViews>
  <sheets>
    <sheet name="recibo de sueldo" sheetId="1" r:id="rId1"/>
    <sheet name="Cargos" sheetId="2" r:id="rId2"/>
  </sheets>
  <definedNames>
    <definedName name="carascensojub">#REF!</definedName>
    <definedName name="Cargos">'recibo de sueldo'!$D$128</definedName>
    <definedName name="CARGOS_Con_prolongación_de_jornada">'recibo de sueldo'!$D$128</definedName>
    <definedName name="CARGOS_de_ascenso">'recibo de sueldo'!#REF!</definedName>
    <definedName name="CARGOS_de_ingreso">'recibo de sueldo'!$E$89</definedName>
    <definedName name="caringresojub">#REF!</definedName>
    <definedName name="carproljorjub">#REF!</definedName>
    <definedName name="cod_022feb07">'recibo de sueldo'!$M$71</definedName>
    <definedName name="cod_58sup">'recibo de sueldo'!$D$82</definedName>
    <definedName name="cod017med">'recibo de sueldo'!$D$78</definedName>
    <definedName name="cod017sup">'recibo de sueldo'!$D$84</definedName>
    <definedName name="cod06cargos">'recibo de sueldo'!$L$92:$L$104</definedName>
    <definedName name="cod06med">'recibo de sueldo'!$D$77</definedName>
    <definedName name="cod06medago07">'recibo de sueldo'!$O$79</definedName>
    <definedName name="cod06medfeb07">'recibo de sueldo'!$M$79</definedName>
    <definedName name="cod06medoct07">'recibo de sueldo'!$S$79</definedName>
    <definedName name="cod06medsep07">'recibo de sueldo'!$Q$79</definedName>
    <definedName name="cod06sup">'recibo de sueldo'!$D$83</definedName>
    <definedName name="cod06supago07">'recibo de sueldo'!$O$85</definedName>
    <definedName name="cod06supfeb07">'recibo de sueldo'!$M$85</definedName>
    <definedName name="cod06supoct07">'recibo de sueldo'!$S$85</definedName>
    <definedName name="cod06supsep07">'recibo de sueldo'!$Q$85</definedName>
    <definedName name="cod17feb07">'recibo de sueldo'!$M$67</definedName>
    <definedName name="cod17medfeb07">'recibo de sueldo'!$M$80</definedName>
    <definedName name="cod17supfeb07">'recibo de sueldo'!$M$86</definedName>
    <definedName name="cod22">'recibo de sueldo'!$G$70</definedName>
    <definedName name="cod22med">'recibo de sueldo'!$D$77</definedName>
    <definedName name="cod22medfeb07">'recibo de sueldo'!$M$78</definedName>
    <definedName name="cod22medsep06">'recibo de sueldo'!$G$76</definedName>
    <definedName name="cod22sep06">'recibo de sueldo'!$G$70</definedName>
    <definedName name="cod22sup">'recibo de sueldo'!$D$83</definedName>
    <definedName name="cod22supfeb07">'recibo de sueldo'!$M$84</definedName>
    <definedName name="cod22supsep06">'recibo de sueldo'!$G$82</definedName>
    <definedName name="cod38feb07">'recibo de sueldo'!$M$68</definedName>
    <definedName name="cod38med">'recibo de sueldo'!$D$75</definedName>
    <definedName name="cod38medfeb07">'recibo de sueldo'!$M$77</definedName>
    <definedName name="cod38sup">'recibo de sueldo'!$D$81</definedName>
    <definedName name="cod38supfeb07">'recibo de sueldo'!$M$83</definedName>
    <definedName name="cod58med">'recibo de sueldo'!$D$76</definedName>
    <definedName name="compbasico">'recibo de sueldo'!$G$131</definedName>
    <definedName name="diasdesc">'recibo de sueldo'!$E$141</definedName>
    <definedName name="diasdescmed">'recibo de sueldo'!$E$216</definedName>
    <definedName name="diasdescsup">'recibo de sueldo'!$E$284</definedName>
    <definedName name="diaspresent">'recibo de sueldo'!$E$148</definedName>
    <definedName name="diaspresentmed">'recibo de sueldo'!$E$224</definedName>
    <definedName name="diaspresentsup">'recibo de sueldo'!$E$292</definedName>
    <definedName name="HORAS_DE_NIVEL_MEDIO">'recibo de sueldo'!$D$203</definedName>
    <definedName name="HORAS_DE_NIVEL_Superior">'recibo de sueldo'!$D$271</definedName>
    <definedName name="horasmediajub">#REF!</definedName>
    <definedName name="horassuperiorjub">#REF!</definedName>
    <definedName name="indiceago07">'recibo de sueldo'!$O$64</definedName>
    <definedName name="indicefeb07">'recibo de sueldo'!$M$64</definedName>
    <definedName name="indicejul08">'recibo de sueldo'!$W$64</definedName>
    <definedName name="indicemar08">'recibo de sueldo'!$U$64</definedName>
    <definedName name="indiceoct07">'recibo de sueldo'!$S$64</definedName>
    <definedName name="indicesep07">'recibo de sueldo'!$Q$64</definedName>
    <definedName name="instructivo">'recibo de sueldo'!$A$16</definedName>
    <definedName name="instructivojub">#REF!</definedName>
    <definedName name="NueSalMin">'recibo de sueldo'!$G$71</definedName>
    <definedName name="nuevocod017med">'recibo de sueldo'!$G$78</definedName>
    <definedName name="nuevocod017medago">'recibo de sueldo'!$G$78</definedName>
    <definedName name="nuevocod017medoct">'recibo de sueldo'!$J$78</definedName>
    <definedName name="nuevocod017sup">'recibo de sueldo'!$G$84</definedName>
    <definedName name="nuevocod017supago">'recibo de sueldo'!$G$84</definedName>
    <definedName name="nuevocod017supoct">'recibo de sueldo'!#REF!</definedName>
    <definedName name="nuevocod06med">'recibo de sueldo'!$G$77</definedName>
    <definedName name="nuevocod06sup">'recibo de sueldo'!$G$83</definedName>
    <definedName name="nuevocod17">'recibo de sueldo'!$G$66</definedName>
    <definedName name="nuevocod17ago">'recibo de sueldo'!$G$66</definedName>
    <definedName name="nuevocod17oct">'recibo de sueldo'!$I$66</definedName>
    <definedName name="nuevocod22ago">'recibo de sueldo'!$G$68</definedName>
    <definedName name="nuevocod22medago">'recibo de sueldo'!$G$77</definedName>
    <definedName name="nuevocod22medoct">'recibo de sueldo'!$J$77</definedName>
    <definedName name="nuevocod22oct">'recibo de sueldo'!$I$68</definedName>
    <definedName name="nuevocod22supago">'recibo de sueldo'!$G$83</definedName>
    <definedName name="nuevocod22supoct">'recibo de sueldo'!$J$84</definedName>
    <definedName name="nuevocod38">'recibo de sueldo'!$G$67</definedName>
    <definedName name="nuevocod38ago">'recibo de sueldo'!$G$67</definedName>
    <definedName name="nuevocod38med">'recibo de sueldo'!$G$75</definedName>
    <definedName name="nuevocod38medago">'recibo de sueldo'!$G$75</definedName>
    <definedName name="nuevocod38medoct">'recibo de sueldo'!$I$73</definedName>
    <definedName name="nuevocod38oct">'recibo de sueldo'!$I$67</definedName>
    <definedName name="nuevocod38sup">'recibo de sueldo'!$G$81</definedName>
    <definedName name="nuevocod38supago">'recibo de sueldo'!$G$81</definedName>
    <definedName name="nuevocod38supoct">'recibo de sueldo'!$J$82</definedName>
    <definedName name="nuevocod58">'recibo de sueldo'!$G$70</definedName>
    <definedName name="nuevocod58ago">'recibo de sueldo'!$G$70</definedName>
    <definedName name="nuevocod58med">'recibo de sueldo'!$G$76</definedName>
    <definedName name="nuevocod58medago">'recibo de sueldo'!$G$76</definedName>
    <definedName name="nuevocod58medoct">'recibo de sueldo'!$I$74</definedName>
    <definedName name="nuevocod58oct">'recibo de sueldo'!$I$70</definedName>
    <definedName name="nuevocod58sup">'recibo de sueldo'!$G$82</definedName>
    <definedName name="nuevocod58supago">'recibo de sueldo'!$G$82</definedName>
    <definedName name="nuevocod58supoct">'recibo de sueldo'!$J$83</definedName>
    <definedName name="nuevoproljornada">'recibo de sueldo'!$G$69</definedName>
    <definedName name="nuevoproljornadaago">'recibo de sueldo'!$G$69</definedName>
    <definedName name="nuevoproljoroct">'recibo de sueldo'!$I$69</definedName>
    <definedName name="nuevopuntoíndice">'recibo de sueldo'!$G$63</definedName>
    <definedName name="nuevosalminjorcom">'recibo de sueldo'!$G$72</definedName>
    <definedName name="porant">'recibo de sueldo'!$K$92:$K$104</definedName>
    <definedName name="porcremcod17">'recibo de sueldo'!$G$86</definedName>
    <definedName name="porreboncod17">'recibo de sueldo'!$G$87</definedName>
    <definedName name="presdias">'recibo de sueldo'!$D$93:$D$97</definedName>
    <definedName name="presporc">'recibo de sueldo'!$E$93:$E$97</definedName>
    <definedName name="proljorago07">'recibo de sueldo'!$O$70</definedName>
    <definedName name="proljorfeb07">'recibo de sueldo'!$M$70</definedName>
    <definedName name="proljorjul08">'recibo de sueldo'!$W$70</definedName>
    <definedName name="proljormar08">'recibo de sueldo'!$U$70</definedName>
    <definedName name="proljoroct07">'recibo de sueldo'!$S$70</definedName>
    <definedName name="proljorsep07">'recibo de sueldo'!$Q$70</definedName>
    <definedName name="punto_índice">'recibo de sueldo'!$D$63</definedName>
    <definedName name="puntoindice">'recibo de sueldo'!$G$63</definedName>
    <definedName name="puntoíndice">'recibo de sueldo'!$D$63</definedName>
    <definedName name="PUNTOSbasicos">'recibo de sueldo'!$C$131</definedName>
    <definedName name="puntoscompbasico">'Cargos'!$D$3:$D$313</definedName>
    <definedName name="puntosproljor">'recibo de sueldo'!$H$138</definedName>
    <definedName name="Salmínimo">'recibo de sueldo'!$D$71</definedName>
    <definedName name="salminimofeb07">'recibo de sueldo'!$M$72</definedName>
    <definedName name="salminimojul08">'recibo de sueldo'!$W$72</definedName>
    <definedName name="salminimomar08">'recibo de sueldo'!$U$72</definedName>
    <definedName name="salminjorcom">'recibo de sueldo'!$M$74</definedName>
    <definedName name="salminjorcompleta">'recibo de sueldo'!$D$72</definedName>
    <definedName name="valor_cod_022">'recibo de sueldo'!$D$68</definedName>
    <definedName name="valor_cod_038">'recibo de sueldo'!$D$67</definedName>
    <definedName name="valor_prol_jor">'recibo de sueldo'!$D$69</definedName>
    <definedName name="valorcod17">'recibo de sueldo'!$D$66</definedName>
    <definedName name="valorcod58">'recibo de sueldo'!$D$70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F2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como en esta celda</t>
        </r>
      </text>
    </comment>
    <comment ref="E250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  <comment ref="E31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</commentList>
</comments>
</file>

<file path=xl/sharedStrings.xml><?xml version="1.0" encoding="utf-8"?>
<sst xmlns="http://schemas.openxmlformats.org/spreadsheetml/2006/main" count="737" uniqueCount="579">
  <si>
    <t>Antigüedad</t>
  </si>
  <si>
    <t>Total haberes</t>
  </si>
  <si>
    <t>Otro desc</t>
  </si>
  <si>
    <t>Descuentos</t>
  </si>
  <si>
    <t>Sueldo líquido</t>
  </si>
  <si>
    <t>Puntos básicos</t>
  </si>
  <si>
    <t>punto índice</t>
  </si>
  <si>
    <t>valor cod 038</t>
  </si>
  <si>
    <t>valor prol jor</t>
  </si>
  <si>
    <t>HORAS DE NIVEL MEDIO</t>
  </si>
  <si>
    <t>Número de horas</t>
  </si>
  <si>
    <t>(no llenar, se calcula solo)</t>
  </si>
  <si>
    <t>Haberes</t>
  </si>
  <si>
    <t>cod38med</t>
  </si>
  <si>
    <t>cod 58med</t>
  </si>
  <si>
    <t>cod017med</t>
  </si>
  <si>
    <t>HORAS DE NIVEL Superior</t>
  </si>
  <si>
    <t>cod38sup</t>
  </si>
  <si>
    <t>cod 58sup</t>
  </si>
  <si>
    <t>cod017sup</t>
  </si>
  <si>
    <t>nuevopuntoíndice</t>
  </si>
  <si>
    <t>Códigos actuales</t>
  </si>
  <si>
    <t>Códigos nivel medio actuales</t>
  </si>
  <si>
    <t>Códigos nivel Superior actuales</t>
  </si>
  <si>
    <t>valorcod17</t>
  </si>
  <si>
    <t>valorcod58</t>
  </si>
  <si>
    <t>No es necesario saber manejar Excel</t>
  </si>
  <si>
    <t xml:space="preserve">Leer los comentarios en las casillas que tengan una puntita roja en el ángulo superior derecho, </t>
  </si>
  <si>
    <t>el comentario aparece al posicionar el cursor sobre la casilla.</t>
  </si>
  <si>
    <t>Víctor Hugo Hutt</t>
  </si>
  <si>
    <t>AGMER Seccional Uruguay</t>
  </si>
  <si>
    <t>Remunerativo</t>
  </si>
  <si>
    <t xml:space="preserve">Tabla a la derecha </t>
  </si>
  <si>
    <t>Nuevo monto remunerativo</t>
  </si>
  <si>
    <t>Instructivo</t>
  </si>
  <si>
    <t>horas nivel medio</t>
  </si>
  <si>
    <t>horas nivel superior</t>
  </si>
  <si>
    <t>cod06med</t>
  </si>
  <si>
    <t>cod06sup</t>
  </si>
  <si>
    <t>Salmínimo</t>
  </si>
  <si>
    <t>NueSalMin</t>
  </si>
  <si>
    <t>valorcod006</t>
  </si>
  <si>
    <t>nuevocod06</t>
  </si>
  <si>
    <t>nuevocod017sup</t>
  </si>
  <si>
    <t>nuevocod38sup</t>
  </si>
  <si>
    <t>nuevocod017med</t>
  </si>
  <si>
    <t>nuevocod38med</t>
  </si>
  <si>
    <t>nuevocod17</t>
  </si>
  <si>
    <t>nuevoproljornada</t>
  </si>
  <si>
    <t>nuevocod06med</t>
  </si>
  <si>
    <t>salminjorcompleta</t>
  </si>
  <si>
    <t>nuevosalminjorcom</t>
  </si>
  <si>
    <t>No lo se</t>
  </si>
  <si>
    <t>No estoy seguro</t>
  </si>
  <si>
    <t>Leer</t>
  </si>
  <si>
    <t>Prosecretario de Prensa</t>
  </si>
  <si>
    <t>nuevocod06sup</t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</si>
  <si>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</si>
  <si>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</si>
  <si>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Códigos para propuesta 24 feb/06</t>
  </si>
  <si>
    <t>Indice enero 2006</t>
  </si>
  <si>
    <t>Códigos nivel medio prop 24 feb/06</t>
  </si>
  <si>
    <t>Códigos nivel Superior 24 feb/06</t>
  </si>
  <si>
    <t>MENU</t>
  </si>
  <si>
    <t>*</t>
  </si>
  <si>
    <t>Valor anterior</t>
  </si>
  <si>
    <t>www.agmeruruguay.com.ar</t>
  </si>
  <si>
    <t xml:space="preserve"> 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</si>
  <si>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</si>
  <si>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</si>
  <si>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</si>
  <si>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</si>
  <si>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</si>
  <si>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</si>
  <si>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</si>
  <si>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</si>
  <si>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</si>
  <si>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</si>
  <si>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</si>
  <si>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</si>
  <si>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</si>
  <si>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</si>
  <si>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</si>
  <si>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</si>
  <si>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</si>
  <si>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</si>
  <si>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</si>
  <si>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</si>
  <si>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</si>
  <si>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</si>
  <si>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</si>
  <si>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</si>
  <si>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</si>
  <si>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</si>
  <si>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</si>
  <si>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</si>
  <si>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</si>
  <si>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</si>
  <si>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</si>
  <si>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</si>
  <si>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</si>
  <si>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</si>
  <si>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</si>
  <si>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</si>
  <si>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</si>
  <si>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</si>
  <si>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</si>
  <si>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</si>
  <si>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</si>
  <si>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</si>
  <si>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</si>
  <si>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</si>
  <si>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</si>
  <si>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</si>
  <si>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</si>
  <si>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</si>
  <si>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</si>
  <si>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</si>
  <si>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</si>
  <si>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</si>
  <si>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</si>
  <si>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</si>
  <si>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</si>
  <si>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</si>
  <si>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</si>
  <si>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</si>
  <si>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</si>
  <si>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</si>
  <si>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</si>
  <si>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</si>
  <si>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</si>
  <si>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</si>
  <si>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</si>
  <si>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</si>
  <si>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</si>
  <si>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</si>
  <si>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</si>
  <si>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</si>
  <si>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</si>
  <si>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</si>
  <si>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</si>
  <si>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</si>
  <si>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</si>
  <si>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</si>
  <si>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</si>
  <si>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</si>
  <si>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</si>
  <si>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</si>
  <si>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</si>
  <si>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</si>
  <si>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</si>
  <si>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</si>
  <si>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</si>
  <si>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</si>
  <si>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</si>
  <si>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</si>
  <si>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</si>
  <si>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</si>
  <si>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</si>
  <si>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</si>
  <si>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</si>
  <si>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</si>
  <si>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</si>
  <si>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</si>
  <si>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</si>
  <si>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</si>
  <si>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</si>
  <si>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</si>
  <si>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</si>
  <si>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</si>
  <si>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</si>
  <si>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</si>
  <si>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</si>
  <si>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</si>
  <si>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</si>
  <si>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</si>
  <si>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</si>
  <si>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</si>
  <si>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</si>
  <si>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</si>
  <si>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</si>
  <si>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</si>
  <si>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</si>
  <si>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</si>
  <si>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</si>
  <si>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</si>
  <si>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</si>
  <si>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</si>
  <si>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</si>
  <si>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</si>
  <si>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</si>
  <si>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</si>
  <si>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</si>
  <si>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</si>
  <si>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</si>
  <si>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</si>
  <si>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</si>
  <si>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</si>
  <si>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</si>
  <si>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</si>
  <si>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</si>
  <si>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</si>
  <si>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</si>
  <si>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</si>
  <si>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</si>
  <si>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</si>
  <si>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</si>
  <si>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</si>
  <si>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</si>
  <si>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</si>
  <si>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</si>
  <si>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</si>
  <si>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</si>
  <si>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</si>
  <si>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</si>
  <si>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</si>
  <si>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</si>
  <si>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</si>
  <si>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</si>
  <si>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</si>
  <si>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</si>
  <si>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</si>
  <si>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</si>
  <si>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</si>
  <si>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</si>
  <si>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</si>
  <si>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</si>
  <si>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</si>
  <si>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</si>
  <si>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</si>
  <si>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</si>
  <si>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</si>
  <si>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</si>
  <si>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</si>
  <si>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</si>
  <si>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</si>
  <si>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</si>
  <si>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</si>
  <si>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</si>
  <si>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</si>
  <si>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</si>
  <si>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</si>
  <si>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</si>
  <si>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</si>
  <si>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</si>
  <si>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</si>
  <si>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</si>
  <si>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</si>
  <si>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</si>
  <si>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</si>
  <si>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</si>
  <si>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</si>
  <si>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</si>
  <si>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</si>
  <si>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</si>
  <si>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</si>
  <si>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</si>
  <si>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</si>
  <si>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</si>
  <si>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</si>
  <si>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</si>
  <si>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</si>
  <si>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</si>
  <si>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</si>
  <si>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</si>
  <si>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</si>
  <si>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</si>
  <si>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</si>
  <si>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</si>
  <si>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</si>
  <si>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</si>
  <si>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</si>
  <si>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</si>
  <si>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</si>
  <si>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</si>
  <si>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</si>
  <si>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</si>
  <si>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</si>
  <si>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</si>
  <si>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</si>
  <si>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</si>
  <si>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</si>
  <si>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</si>
  <si>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</si>
  <si>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</si>
  <si>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</si>
  <si>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</si>
  <si>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</si>
  <si>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</si>
  <si>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</si>
  <si>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</si>
  <si>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</si>
  <si>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</si>
  <si>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</si>
  <si>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</si>
  <si>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</si>
  <si>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</si>
  <si>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</si>
  <si>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</si>
  <si>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</si>
  <si>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</si>
  <si>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</si>
  <si>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</si>
  <si>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</si>
  <si>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</si>
  <si>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</si>
  <si>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</si>
  <si>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</si>
  <si>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</si>
  <si>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</si>
  <si>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</si>
  <si>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</si>
  <si>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</si>
  <si>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</si>
  <si>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</si>
  <si>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</si>
  <si>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</si>
  <si>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</si>
  <si>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</si>
  <si>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</si>
  <si>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</si>
  <si>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</si>
  <si>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</si>
  <si>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</si>
  <si>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</si>
  <si>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</si>
  <si>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</si>
  <si>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</si>
  <si>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</si>
  <si>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</si>
  <si>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</si>
  <si>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</si>
  <si>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</si>
  <si>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</si>
  <si>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</si>
  <si>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</si>
  <si>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</si>
  <si>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</si>
  <si>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</si>
  <si>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</si>
  <si>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</si>
  <si>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</si>
  <si>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</si>
  <si>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</si>
  <si>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</si>
  <si>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</si>
  <si>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</si>
  <si>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</si>
  <si>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</si>
  <si>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</si>
  <si>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</si>
  <si>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</si>
  <si>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</si>
  <si>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</si>
  <si>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</si>
  <si>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</si>
  <si>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</si>
  <si>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</si>
  <si>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</si>
  <si>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</si>
  <si>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</si>
  <si>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</si>
  <si>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</si>
  <si>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</si>
  <si>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</si>
  <si>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</si>
  <si>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</si>
  <si>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</si>
  <si>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</si>
  <si>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</si>
  <si>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</si>
  <si>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</si>
  <si>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</si>
  <si>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</si>
  <si>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</si>
  <si>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Prol JORN</t>
  </si>
  <si>
    <t>jorn Compl</t>
  </si>
  <si>
    <t xml:space="preserve"> tarea DIFER.</t>
  </si>
  <si>
    <t>PUNTOS basicos</t>
  </si>
  <si>
    <t xml:space="preserve">CARGOS </t>
  </si>
  <si>
    <t>078</t>
  </si>
  <si>
    <t>016</t>
  </si>
  <si>
    <t>052</t>
  </si>
  <si>
    <t>010</t>
  </si>
  <si>
    <t>001</t>
  </si>
  <si>
    <t>Asignación de la categoría</t>
  </si>
  <si>
    <t>188</t>
  </si>
  <si>
    <t>172</t>
  </si>
  <si>
    <t>006</t>
  </si>
  <si>
    <t>014</t>
  </si>
  <si>
    <t>084</t>
  </si>
  <si>
    <t>113</t>
  </si>
  <si>
    <t>502</t>
  </si>
  <si>
    <t>504</t>
  </si>
  <si>
    <t>505</t>
  </si>
  <si>
    <t>510</t>
  </si>
  <si>
    <t>099</t>
  </si>
  <si>
    <t>Ant. Comp Nación</t>
  </si>
  <si>
    <t>Prolongación de Jornada</t>
  </si>
  <si>
    <t>Función diferencial docente</t>
  </si>
  <si>
    <t>Varios</t>
  </si>
  <si>
    <t>Total Asignaciones Familiares</t>
  </si>
  <si>
    <t>Anticipo FONID</t>
  </si>
  <si>
    <t>Sueldo líquido provincia</t>
  </si>
  <si>
    <t>Adicional para mínimo</t>
  </si>
  <si>
    <t>FONID 2006</t>
  </si>
  <si>
    <t>Años de antigüedad</t>
  </si>
  <si>
    <t>CONCEPTO</t>
  </si>
  <si>
    <t>HABERES</t>
  </si>
  <si>
    <t>DESCUENTOS</t>
  </si>
  <si>
    <t xml:space="preserve"> Ley 4035</t>
  </si>
  <si>
    <t>Seg vida</t>
  </si>
  <si>
    <t>Ob social</t>
  </si>
  <si>
    <t xml:space="preserve"> Ap jubilat</t>
  </si>
  <si>
    <t>Puntos de jornada completa</t>
  </si>
  <si>
    <t>Adic. Art. 2 y 3 Dcrto. 5863/05</t>
  </si>
  <si>
    <t>Product. Dcrto. 5863/05</t>
  </si>
  <si>
    <t>Plus productividad docente</t>
  </si>
  <si>
    <t>004</t>
  </si>
  <si>
    <t>Horas cátedra</t>
  </si>
  <si>
    <t>Productiv Dcrto. 5863/05</t>
  </si>
  <si>
    <t>Ant comp Nación</t>
  </si>
  <si>
    <t>440</t>
  </si>
  <si>
    <t>Reajuste cod 188</t>
  </si>
  <si>
    <t>Obra social</t>
  </si>
  <si>
    <t>Ley 4035</t>
  </si>
  <si>
    <t>Ap jubilatorio</t>
  </si>
  <si>
    <t>Otros</t>
  </si>
  <si>
    <t>Miembro de Comisión de Salario AGMER</t>
  </si>
  <si>
    <t>Escala de antigüedades</t>
  </si>
  <si>
    <t>Años</t>
  </si>
  <si>
    <t>Porcentaje</t>
  </si>
  <si>
    <t>Años de Antigüedad</t>
  </si>
  <si>
    <t>listado de cargos</t>
  </si>
  <si>
    <t>cargos</t>
  </si>
  <si>
    <t>Simulación de recibo de cada compañero</t>
  </si>
  <si>
    <t>Si no conocen el número de cargo, lo pueden buscar en la hoja "cargos", seleccionando la pestaña</t>
  </si>
  <si>
    <t>número para luego ingresarlo en el lugar especificado.</t>
  </si>
  <si>
    <r>
      <t xml:space="preserve">Se deben completar los datos en </t>
    </r>
    <r>
      <rPr>
        <b/>
        <sz val="12"/>
        <color indexed="10"/>
        <rFont val="Arial"/>
        <family val="2"/>
      </rPr>
      <t>rojo</t>
    </r>
    <r>
      <rPr>
        <sz val="12"/>
        <rFont val="Arial"/>
        <family val="2"/>
      </rPr>
      <t xml:space="preserve"> y es posible que los </t>
    </r>
    <r>
      <rPr>
        <b/>
        <sz val="12"/>
        <color indexed="53"/>
        <rFont val="Arial"/>
        <family val="2"/>
      </rPr>
      <t>naranjas,</t>
    </r>
    <r>
      <rPr>
        <sz val="12"/>
        <rFont val="Arial"/>
        <family val="2"/>
      </rPr>
      <t xml:space="preserve"> lo demás se calcula todo solo.</t>
    </r>
  </si>
  <si>
    <r>
      <t xml:space="preserve">No tocar los demás valores porque se descontrola, en ese caso no arreglar, </t>
    </r>
    <r>
      <rPr>
        <b/>
        <sz val="12"/>
        <rFont val="Arial"/>
        <family val="2"/>
      </rPr>
      <t>solo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deshacer cambios</t>
    </r>
    <r>
      <rPr>
        <sz val="12"/>
        <rFont val="Arial"/>
        <family val="2"/>
      </rPr>
      <t>.</t>
    </r>
  </si>
  <si>
    <t>porc rem cod17</t>
  </si>
  <si>
    <t>NOMBRE del cargo</t>
  </si>
  <si>
    <t>Buscar en la hoja cargos si no saben el número del cargo y luego controlar por el nombre</t>
  </si>
  <si>
    <t>Listado de Cargos</t>
  </si>
  <si>
    <t>Medio Aguinaldo</t>
  </si>
  <si>
    <t>código 100</t>
  </si>
  <si>
    <r>
      <t>código 186 (</t>
    </r>
    <r>
      <rPr>
        <sz val="12"/>
        <rFont val="Arial"/>
        <family val="2"/>
      </rPr>
      <t>No remun)</t>
    </r>
  </si>
  <si>
    <t>Medio aguinaldo</t>
  </si>
  <si>
    <t>Descuentos con aguinaldo</t>
  </si>
  <si>
    <t>Sueldo líquido incluyendo aguinaldo</t>
  </si>
  <si>
    <t>Indices actuales - julio 2006</t>
  </si>
  <si>
    <t>PORCENT</t>
  </si>
  <si>
    <t>CODIGO</t>
  </si>
  <si>
    <r>
      <t xml:space="preserve">que se debe completar </t>
    </r>
    <r>
      <rPr>
        <b/>
        <sz val="12"/>
        <rFont val="Arial"/>
        <family val="2"/>
      </rPr>
      <t>en años</t>
    </r>
    <r>
      <rPr>
        <sz val="12"/>
        <rFont val="Arial"/>
        <family val="2"/>
      </rPr>
      <t xml:space="preserve"> y lo que aparece en rojo, todo lo demás aparece automáticamente</t>
    </r>
  </si>
  <si>
    <r>
      <t>selección,</t>
    </r>
    <r>
      <rPr>
        <sz val="10"/>
        <rFont val="Arial"/>
        <family val="0"/>
      </rPr>
      <t xml:space="preserve"> de lo contrario les va a imprimir toda la planilla, incluyendo comentarios, etc.</t>
    </r>
  </si>
  <si>
    <t>Volver al simulador</t>
  </si>
  <si>
    <r>
      <t xml:space="preserve">Bonific Ubic Escuela </t>
    </r>
    <r>
      <rPr>
        <b/>
        <sz val="10"/>
        <rFont val="Arial"/>
        <family val="2"/>
      </rPr>
      <t>(ZONA)</t>
    </r>
  </si>
  <si>
    <t>porcremybon cod17</t>
  </si>
  <si>
    <t>Aguinaldo de bolsillo</t>
  </si>
  <si>
    <t>valor actual</t>
  </si>
  <si>
    <t>Valores propuestos</t>
  </si>
  <si>
    <t>Nuevo actual</t>
  </si>
  <si>
    <t>indicefeb07</t>
  </si>
  <si>
    <t>cod17feb07</t>
  </si>
  <si>
    <t>cod38feb07</t>
  </si>
  <si>
    <t>cod06feb07</t>
  </si>
  <si>
    <t>proljorfeb07</t>
  </si>
  <si>
    <t>salminimofeb07</t>
  </si>
  <si>
    <t>salminjorcom</t>
  </si>
  <si>
    <t xml:space="preserve">Tabla a la Izquierda </t>
  </si>
  <si>
    <t>cod22</t>
  </si>
  <si>
    <t>cod 022feb07</t>
  </si>
  <si>
    <t>cod22medfeb07</t>
  </si>
  <si>
    <t>cod38supfeb07</t>
  </si>
  <si>
    <t>cod38medfeb07</t>
  </si>
  <si>
    <t>cod22supfeb07</t>
  </si>
  <si>
    <t>cod06supfeb07</t>
  </si>
  <si>
    <t>cod17supfeb07</t>
  </si>
  <si>
    <t>cod22sep06</t>
  </si>
  <si>
    <t>cod22medsep06</t>
  </si>
  <si>
    <t>cod22supsep06</t>
  </si>
  <si>
    <t>Min jor simple</t>
  </si>
  <si>
    <t>Códigos nivel medio prop 8 feb/07</t>
  </si>
  <si>
    <t>cod06medfeb07</t>
  </si>
  <si>
    <t>cod17medfeb07</t>
  </si>
  <si>
    <t>www.celestecompromiso.com.ar</t>
  </si>
  <si>
    <t>1170&lt;pi&lt;1400</t>
  </si>
  <si>
    <t>1401&lt;pi&lt;1942</t>
  </si>
  <si>
    <t>pi&gt;2220</t>
  </si>
  <si>
    <t>1943&lt;pi&lt;=2220</t>
  </si>
  <si>
    <t>cod 38 viejo</t>
  </si>
  <si>
    <t>victorhutt@victorhutt.com.ar</t>
  </si>
  <si>
    <t>Deben seleccionar el número de cargo o  el número de horas que aparecen en rojo, la antigüedad,</t>
  </si>
  <si>
    <t xml:space="preserve">que aparece en la parte inferior izquierda de la pantalla o presionando al final de este párrafo, y buscar su </t>
  </si>
  <si>
    <t>indiceago07</t>
  </si>
  <si>
    <t>cod06medago07</t>
  </si>
  <si>
    <t>cod06supago07</t>
  </si>
  <si>
    <t>proljorago07</t>
  </si>
  <si>
    <t>indicesep07</t>
  </si>
  <si>
    <t>proljorsep07</t>
  </si>
  <si>
    <t>cod06medsep07</t>
  </si>
  <si>
    <t>cod06supsep07</t>
  </si>
  <si>
    <t>indiceoct07</t>
  </si>
  <si>
    <t>proljoroct07</t>
  </si>
  <si>
    <t>cod06medoct07</t>
  </si>
  <si>
    <t>cod06supoct07</t>
  </si>
  <si>
    <r>
      <t xml:space="preserve"> </t>
    </r>
    <r>
      <rPr>
        <sz val="12"/>
        <rFont val="Times New Roman"/>
        <family val="1"/>
      </rPr>
      <t xml:space="preserve"> </t>
    </r>
  </si>
  <si>
    <t>Por los topes de algunos códigos</t>
  </si>
  <si>
    <t>Nº horas que cobran código 06</t>
  </si>
  <si>
    <t>Nº horas que cobran incentivo</t>
  </si>
  <si>
    <t>Nº horas que cobran código 113</t>
  </si>
  <si>
    <t>En el recibo comparado</t>
  </si>
  <si>
    <t xml:space="preserve">código 06, en el incentivo y en el código 113 de Nación. En el caso del código 06 para horas se divide </t>
  </si>
  <si>
    <t xml:space="preserve">topes para ello es necesario comprobar con el recibo en mano la cantidad de horas que se pagan el el </t>
  </si>
  <si>
    <t xml:space="preserve">el tope o máximo por la cantidad de recibos del agente, y en todos se paga la misma cantidad de horas, </t>
  </si>
  <si>
    <t xml:space="preserve">sin importar la cantidad de horas a la que corresponda el recibo. Por ejemplo, si un docente de nivel medio </t>
  </si>
  <si>
    <t xml:space="preserve">o a 2 horas. Se deberá completar con 2,5 en el lugar asignado para ese código. También se deberá </t>
  </si>
  <si>
    <t>observar la cantidad de horas en el incentivo y en el código 113.</t>
  </si>
  <si>
    <r>
      <t>Aclaración importante: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8"/>
        <rFont val="Arial"/>
        <family val="2"/>
      </rPr>
      <t xml:space="preserve"> En esta versión del simulador intentamos subsanar los errores producidos por los </t>
    </r>
  </si>
  <si>
    <r>
      <t>Si encuentran errores o tienen dudas, por favor avísenme.</t>
    </r>
    <r>
      <rPr>
        <sz val="12"/>
        <color indexed="17"/>
        <rFont val="Arial"/>
        <family val="0"/>
      </rPr>
      <t xml:space="preserve"> victorhutt@victorhutt.com.ar o (03442 432934 AGMER Uruguay)</t>
    </r>
  </si>
  <si>
    <t>hasta 971</t>
  </si>
  <si>
    <t>972&lt;pi&lt;= 1169</t>
  </si>
  <si>
    <t>pijc&gt;=620    971</t>
  </si>
  <si>
    <t>JC &gt; 971</t>
  </si>
  <si>
    <t>JC defint</t>
  </si>
  <si>
    <t>Final</t>
  </si>
  <si>
    <t>Puntos Comp basico</t>
  </si>
  <si>
    <t>Otro código</t>
  </si>
  <si>
    <t>Complemento de Básico</t>
  </si>
  <si>
    <t>indicemar08</t>
  </si>
  <si>
    <t>proljormar08</t>
  </si>
  <si>
    <t>indicejul08</t>
  </si>
  <si>
    <t>proljorjul08</t>
  </si>
  <si>
    <t>salminimomar08</t>
  </si>
  <si>
    <t>salminimojul08</t>
  </si>
  <si>
    <t xml:space="preserve">cobra con 8 recibos, percibirá 3,75 horas en elcódigo 06, sin importar que el recibo corresponda a 12 horas </t>
  </si>
  <si>
    <t>Está hecho en base a los valores de Sept 2.007 y propuesta para Marzo y Julio de 2.008.</t>
  </si>
  <si>
    <t>Comp Básico</t>
  </si>
  <si>
    <t>Cantidad de días descontados</t>
  </si>
  <si>
    <t>Descuento montos remunerativos</t>
  </si>
  <si>
    <t>Descuento montos no remunerativos</t>
  </si>
  <si>
    <t>Código 575</t>
  </si>
  <si>
    <t>Código 576</t>
  </si>
  <si>
    <t>Código 440</t>
  </si>
  <si>
    <t>Descuento de presentismo</t>
  </si>
  <si>
    <t>Días descontados en presentismo</t>
  </si>
  <si>
    <t>Porcentaje descontado</t>
  </si>
  <si>
    <t>Reducción del descuento</t>
  </si>
  <si>
    <t>Descuento de bolsillo</t>
  </si>
  <si>
    <t xml:space="preserve">Hoja de cálculo  para evaluar los descuentos por días de paro </t>
  </si>
  <si>
    <t>realizados con haberes de Agosto de 2.008</t>
  </si>
  <si>
    <t>Mi respuesta es muy sencilla: Ningún tipo de descuento, el trabajador no puede ser castigado</t>
  </si>
  <si>
    <t>en el sustento de su familia por recurrir a su derecho a huelga ante la falta de respuestas por parte</t>
  </si>
  <si>
    <t>En estos días el gobierno anuncia que devolverá los descuentos mal realizados, por lo tanto si esto fuera</t>
  </si>
  <si>
    <t>verdad, debería devolver todo lo que injustamente descontó.</t>
  </si>
  <si>
    <t>seguir luchando hasta que devuelva todo.</t>
  </si>
  <si>
    <t>Urgente devolución de todo lo descontado</t>
  </si>
  <si>
    <t>Son varios los compañeros que me preguntan cual es el descuento que corresponde por dos días de</t>
  </si>
  <si>
    <t>inasistencia, eso es lo que intento responder en este simulador con cálculos propios, dado que no es</t>
  </si>
  <si>
    <t>sencillo conocer como lo hacen y debemos generar nosotros nuestro propio conocimiento.</t>
  </si>
  <si>
    <t>Con el paso de los días voy a ir ajustando esta herramienta a medida que encuentre errores.</t>
  </si>
  <si>
    <t>Según tenemos entendido no fue descontado el presentismo, pero de todas formas aquí se puede calcular</t>
  </si>
  <si>
    <t>Al producirse descuentos por inasistencia se reducen los descuentos de ley</t>
  </si>
  <si>
    <t>Sumando descuentos y restando reducción de aportes el:</t>
  </si>
  <si>
    <r>
      <t xml:space="preserve">Haberes julio 08 </t>
    </r>
    <r>
      <rPr>
        <sz val="12"/>
        <rFont val="Arial"/>
        <family val="2"/>
      </rPr>
      <t>(sin descuentos)</t>
    </r>
  </si>
  <si>
    <t>completar para cargos</t>
  </si>
  <si>
    <t>Cantidad de horas descontadas</t>
  </si>
  <si>
    <t>completar para horas nivel medio</t>
  </si>
  <si>
    <t>completar para horas</t>
  </si>
  <si>
    <t>La cantidad de horas de 40 minutos de los días descontados</t>
  </si>
  <si>
    <r>
      <t xml:space="preserve">Haberes Julio 08 </t>
    </r>
    <r>
      <rPr>
        <sz val="12"/>
        <rFont val="Arial"/>
        <family val="2"/>
      </rPr>
      <t>(sin descuentos)</t>
    </r>
  </si>
  <si>
    <t>completar para horas nivel superior</t>
  </si>
  <si>
    <r>
      <t xml:space="preserve">Haberes julio 08 </t>
    </r>
    <r>
      <rPr>
        <sz val="12"/>
        <rFont val="Arial"/>
        <family val="2"/>
      </rPr>
      <t>(sin descuento)</t>
    </r>
  </si>
  <si>
    <t>En los cálculos incluyo los códigos 084 y 113 en los descuentos y no estoy seguro que sea correcto.</t>
  </si>
  <si>
    <t>Son varios los que preguntan cual debería haber sido el descuento correcto por dos días de paro.</t>
  </si>
  <si>
    <t>del gobierno a su reclamo de condiciones para la escuela pública y salarios dignos y en blanco.</t>
  </si>
  <si>
    <t>Pero según lo que nos dicen, van a devolver lo que se excedió de dos días de descuentos, pero vamos a</t>
  </si>
  <si>
    <t>Secretario General</t>
  </si>
  <si>
    <t>www.porunagmerdetodos.com.ar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</si>
</sst>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0000000000%"/>
    <numFmt numFmtId="184" formatCode="0.00000000000000%"/>
    <numFmt numFmtId="185" formatCode="0.000000000000000%"/>
    <numFmt numFmtId="186" formatCode="0.0000000000000000%"/>
    <numFmt numFmtId="187" formatCode="0.00000000000000000%"/>
    <numFmt numFmtId="188" formatCode="0.000000000000000000%"/>
    <numFmt numFmtId="189" formatCode="0.000"/>
    <numFmt numFmtId="190" formatCode="0.0000"/>
    <numFmt numFmtId="191" formatCode="0.0000000000000000000%"/>
    <numFmt numFmtId="192" formatCode="0.00000000000000000000%"/>
    <numFmt numFmtId="193" formatCode="0.000000000000000000000%"/>
    <numFmt numFmtId="194" formatCode="0.0000000000000000000000%"/>
    <numFmt numFmtId="195" formatCode="_ &quot;$&quot;\ * #,##0.0_ ;_ &quot;$&quot;\ * \-#,##0.0_ ;_ &quot;$&quot;\ * &quot;-&quot;??_ ;_ @_ "/>
    <numFmt numFmtId="196" formatCode="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000000"/>
    <numFmt numFmtId="201" formatCode="0.000000"/>
    <numFmt numFmtId="202" formatCode="0.00000"/>
    <numFmt numFmtId="203" formatCode="_ &quot;$&quot;\ * #,##0_ ;_ &quot;$&quot;\ * \-#,##0_ ;_ &quot;$&quot;\ * &quot;-&quot;??_ ;_ @_ "/>
    <numFmt numFmtId="204" formatCode="0.00000000"/>
    <numFmt numFmtId="205" formatCode="&quot;$&quot;#,##0.00;\-&quot;$&quot;#,##0.00"/>
    <numFmt numFmtId="206" formatCode="0.000000000"/>
    <numFmt numFmtId="207" formatCode="#,##0.00\ &quot;€&quot;"/>
    <numFmt numFmtId="208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u val="single"/>
      <sz val="12"/>
      <color indexed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2"/>
      <name val="Times New Roman"/>
      <family val="1"/>
    </font>
    <font>
      <b/>
      <u val="single"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16"/>
      <name val="Arial"/>
      <family val="2"/>
    </font>
    <font>
      <b/>
      <sz val="8"/>
      <name val="Tahoma"/>
      <family val="0"/>
    </font>
    <font>
      <b/>
      <sz val="16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57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b/>
      <sz val="16"/>
      <color indexed="20"/>
      <name val="Arial"/>
      <family val="2"/>
    </font>
    <font>
      <b/>
      <u val="single"/>
      <sz val="14"/>
      <color indexed="1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2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strike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53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23"/>
      <name val="Arial"/>
      <family val="0"/>
    </font>
    <font>
      <b/>
      <sz val="12"/>
      <color indexed="12"/>
      <name val="Duchess"/>
      <family val="0"/>
    </font>
    <font>
      <b/>
      <u val="single"/>
      <sz val="18"/>
      <color indexed="18"/>
      <name val="Arial"/>
      <family val="2"/>
    </font>
    <font>
      <b/>
      <sz val="14"/>
      <color indexed="12"/>
      <name val="Arial"/>
      <family val="2"/>
    </font>
    <font>
      <sz val="12"/>
      <color indexed="18"/>
      <name val="Arial"/>
      <family val="0"/>
    </font>
    <font>
      <sz val="12"/>
      <color indexed="17"/>
      <name val="Arial"/>
      <family val="0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n"/>
      <top style="thick">
        <color indexed="11"/>
      </top>
      <bottom style="thick">
        <color indexed="11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2" fontId="0" fillId="0" borderId="3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6" xfId="0" applyNumberForma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2" borderId="1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5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3" borderId="8" xfId="0" applyFont="1" applyFill="1" applyBorder="1" applyAlignment="1" applyProtection="1">
      <alignment/>
      <protection/>
    </xf>
    <xf numFmtId="0" fontId="31" fillId="3" borderId="11" xfId="0" applyFont="1" applyFill="1" applyBorder="1" applyAlignment="1" applyProtection="1">
      <alignment/>
      <protection/>
    </xf>
    <xf numFmtId="0" fontId="1" fillId="3" borderId="8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36" fillId="4" borderId="4" xfId="15" applyFont="1" applyFill="1" applyBorder="1" applyAlignment="1" applyProtection="1">
      <alignment/>
      <protection/>
    </xf>
    <xf numFmtId="0" fontId="6" fillId="4" borderId="7" xfId="0" applyFont="1" applyFill="1" applyBorder="1" applyAlignment="1" applyProtection="1">
      <alignment/>
      <protection/>
    </xf>
    <xf numFmtId="0" fontId="36" fillId="4" borderId="6" xfId="15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9" fillId="2" borderId="10" xfId="0" applyFont="1" applyFill="1" applyBorder="1" applyAlignment="1" applyProtection="1">
      <alignment/>
      <protection/>
    </xf>
    <xf numFmtId="0" fontId="39" fillId="2" borderId="12" xfId="0" applyFont="1" applyFill="1" applyBorder="1" applyAlignment="1" applyProtection="1">
      <alignment/>
      <protection/>
    </xf>
    <xf numFmtId="0" fontId="39" fillId="5" borderId="12" xfId="0" applyFont="1" applyFill="1" applyBorder="1" applyAlignment="1" applyProtection="1">
      <alignment/>
      <protection/>
    </xf>
    <xf numFmtId="0" fontId="39" fillId="5" borderId="13" xfId="0" applyFont="1" applyFill="1" applyBorder="1" applyAlignment="1" applyProtection="1">
      <alignment/>
      <protection/>
    </xf>
    <xf numFmtId="0" fontId="24" fillId="4" borderId="3" xfId="0" applyFont="1" applyFill="1" applyBorder="1" applyAlignment="1" applyProtection="1">
      <alignment/>
      <protection/>
    </xf>
    <xf numFmtId="0" fontId="24" fillId="4" borderId="14" xfId="0" applyFont="1" applyFill="1" applyBorder="1" applyAlignment="1" applyProtection="1">
      <alignment/>
      <protection/>
    </xf>
    <xf numFmtId="0" fontId="2" fillId="6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8" fillId="7" borderId="14" xfId="0" applyFont="1" applyFill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41" fillId="0" borderId="18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42" fillId="0" borderId="18" xfId="0" applyFont="1" applyBorder="1" applyAlignment="1" applyProtection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41" fillId="7" borderId="18" xfId="0" applyFont="1" applyFill="1" applyBorder="1" applyAlignment="1" applyProtection="1">
      <alignment/>
      <protection hidden="1"/>
    </xf>
    <xf numFmtId="0" fontId="0" fillId="7" borderId="19" xfId="0" applyFill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4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/>
    </xf>
    <xf numFmtId="9" fontId="8" fillId="2" borderId="19" xfId="21" applyFont="1" applyFill="1" applyBorder="1" applyAlignment="1" applyProtection="1">
      <alignment/>
      <protection/>
    </xf>
    <xf numFmtId="9" fontId="8" fillId="2" borderId="23" xfId="21" applyFont="1" applyFill="1" applyBorder="1" applyAlignment="1" applyProtection="1">
      <alignment/>
      <protection/>
    </xf>
    <xf numFmtId="9" fontId="8" fillId="5" borderId="19" xfId="21" applyFont="1" applyFill="1" applyBorder="1" applyAlignment="1" applyProtection="1">
      <alignment/>
      <protection/>
    </xf>
    <xf numFmtId="9" fontId="8" fillId="5" borderId="20" xfId="2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 quotePrefix="1">
      <alignment horizontal="center"/>
      <protection/>
    </xf>
    <xf numFmtId="9" fontId="30" fillId="0" borderId="18" xfId="0" applyNumberFormat="1" applyFont="1" applyBorder="1" applyAlignment="1" applyProtection="1">
      <alignment/>
      <protection locked="0"/>
    </xf>
    <xf numFmtId="9" fontId="1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" fontId="5" fillId="0" borderId="2" xfId="21" applyNumberFormat="1" applyFont="1" applyBorder="1" applyAlignment="1" applyProtection="1">
      <alignment horizontal="center"/>
      <protection locked="0"/>
    </xf>
    <xf numFmtId="2" fontId="43" fillId="0" borderId="0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4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2" fontId="43" fillId="0" borderId="3" xfId="0" applyNumberFormat="1" applyFont="1" applyBorder="1" applyAlignment="1" applyProtection="1">
      <alignment/>
      <protection/>
    </xf>
    <xf numFmtId="0" fontId="43" fillId="0" borderId="11" xfId="0" applyFont="1" applyBorder="1" applyAlignment="1" applyProtection="1">
      <alignment/>
      <protection/>
    </xf>
    <xf numFmtId="0" fontId="43" fillId="0" borderId="4" xfId="0" applyFont="1" applyBorder="1" applyAlignment="1" applyProtection="1">
      <alignment/>
      <protection/>
    </xf>
    <xf numFmtId="0" fontId="43" fillId="0" borderId="7" xfId="0" applyFont="1" applyBorder="1" applyAlignment="1" applyProtection="1">
      <alignment/>
      <protection/>
    </xf>
    <xf numFmtId="2" fontId="43" fillId="0" borderId="5" xfId="0" applyNumberFormat="1" applyFont="1" applyBorder="1" applyAlignment="1" applyProtection="1">
      <alignment/>
      <protection/>
    </xf>
    <xf numFmtId="0" fontId="43" fillId="0" borderId="8" xfId="0" applyFont="1" applyBorder="1" applyAlignment="1" applyProtection="1">
      <alignment/>
      <protection/>
    </xf>
    <xf numFmtId="0" fontId="44" fillId="0" borderId="8" xfId="0" applyFont="1" applyBorder="1" applyAlignment="1" applyProtection="1">
      <alignment/>
      <protection/>
    </xf>
    <xf numFmtId="2" fontId="43" fillId="0" borderId="5" xfId="0" applyNumberFormat="1" applyFont="1" applyFill="1" applyBorder="1" applyAlignment="1" applyProtection="1">
      <alignment/>
      <protection/>
    </xf>
    <xf numFmtId="0" fontId="43" fillId="0" borderId="8" xfId="0" applyFont="1" applyFill="1" applyBorder="1" applyAlignment="1" applyProtection="1">
      <alignment/>
      <protection/>
    </xf>
    <xf numFmtId="2" fontId="43" fillId="0" borderId="6" xfId="0" applyNumberFormat="1" applyFont="1" applyFill="1" applyBorder="1" applyAlignment="1" applyProtection="1">
      <alignment/>
      <protection/>
    </xf>
    <xf numFmtId="0" fontId="43" fillId="0" borderId="9" xfId="0" applyFont="1" applyFill="1" applyBorder="1" applyAlignment="1" applyProtection="1">
      <alignment/>
      <protection/>
    </xf>
    <xf numFmtId="0" fontId="44" fillId="0" borderId="8" xfId="0" applyFont="1" applyFill="1" applyBorder="1" applyAlignment="1" applyProtection="1">
      <alignment/>
      <protection/>
    </xf>
    <xf numFmtId="0" fontId="43" fillId="0" borderId="5" xfId="0" applyFont="1" applyBorder="1" applyAlignment="1" applyProtection="1">
      <alignment/>
      <protection/>
    </xf>
    <xf numFmtId="0" fontId="43" fillId="0" borderId="6" xfId="0" applyFont="1" applyBorder="1" applyAlignment="1" applyProtection="1">
      <alignment/>
      <protection/>
    </xf>
    <xf numFmtId="0" fontId="43" fillId="0" borderId="9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9" fontId="0" fillId="0" borderId="18" xfId="0" applyNumberForma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9" fontId="1" fillId="8" borderId="10" xfId="0" applyNumberFormat="1" applyFont="1" applyFill="1" applyBorder="1" applyAlignment="1" applyProtection="1">
      <alignment/>
      <protection/>
    </xf>
    <xf numFmtId="9" fontId="1" fillId="8" borderId="12" xfId="0" applyNumberFormat="1" applyFont="1" applyFill="1" applyBorder="1" applyAlignment="1" applyProtection="1">
      <alignment/>
      <protection/>
    </xf>
    <xf numFmtId="0" fontId="1" fillId="8" borderId="23" xfId="0" applyFont="1" applyFill="1" applyBorder="1" applyAlignment="1" applyProtection="1">
      <alignment/>
      <protection/>
    </xf>
    <xf numFmtId="0" fontId="1" fillId="8" borderId="19" xfId="0" applyFont="1" applyFill="1" applyBorder="1" applyAlignment="1" applyProtection="1">
      <alignment/>
      <protection/>
    </xf>
    <xf numFmtId="0" fontId="1" fillId="8" borderId="20" xfId="0" applyFont="1" applyFill="1" applyBorder="1" applyAlignment="1" applyProtection="1">
      <alignment/>
      <protection/>
    </xf>
    <xf numFmtId="9" fontId="1" fillId="8" borderId="13" xfId="0" applyNumberFormat="1" applyFon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 horizontal="left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3" borderId="25" xfId="0" applyFont="1" applyFill="1" applyBorder="1" applyAlignment="1" applyProtection="1">
      <alignment horizontal="center"/>
      <protection/>
    </xf>
    <xf numFmtId="0" fontId="48" fillId="0" borderId="0" xfId="0" applyFont="1" applyFill="1" applyAlignment="1" applyProtection="1">
      <alignment/>
      <protection/>
    </xf>
    <xf numFmtId="0" fontId="28" fillId="0" borderId="0" xfId="15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6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left"/>
      <protection locked="0"/>
    </xf>
    <xf numFmtId="0" fontId="29" fillId="6" borderId="28" xfId="0" applyFont="1" applyFill="1" applyBorder="1" applyAlignment="1" applyProtection="1">
      <alignment/>
      <protection/>
    </xf>
    <xf numFmtId="0" fontId="36" fillId="4" borderId="5" xfId="15" applyFont="1" applyFill="1" applyBorder="1" applyAlignment="1" applyProtection="1">
      <alignment/>
      <protection/>
    </xf>
    <xf numFmtId="0" fontId="6" fillId="4" borderId="8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4" borderId="9" xfId="0" applyFont="1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27" fillId="0" borderId="3" xfId="0" applyFont="1" applyBorder="1" applyAlignment="1" applyProtection="1">
      <alignment/>
      <protection/>
    </xf>
    <xf numFmtId="0" fontId="33" fillId="7" borderId="0" xfId="0" applyFont="1" applyFill="1" applyAlignment="1" applyProtection="1">
      <alignment horizontal="right"/>
      <protection/>
    </xf>
    <xf numFmtId="0" fontId="25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3" borderId="0" xfId="0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24" fillId="4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40" fillId="0" borderId="25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9" fontId="7" fillId="0" borderId="0" xfId="21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/>
      <protection/>
    </xf>
    <xf numFmtId="1" fontId="6" fillId="0" borderId="28" xfId="0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 quotePrefix="1">
      <alignment horizontal="center"/>
      <protection/>
    </xf>
    <xf numFmtId="0" fontId="0" fillId="0" borderId="24" xfId="0" applyBorder="1" applyAlignment="1" applyProtection="1">
      <alignment/>
      <protection/>
    </xf>
    <xf numFmtId="2" fontId="0" fillId="0" borderId="26" xfId="0" applyNumberForma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2" fontId="0" fillId="0" borderId="18" xfId="0" applyNumberFormat="1" applyFont="1" applyBorder="1" applyAlignment="1" applyProtection="1" quotePrefix="1">
      <alignment horizontal="center"/>
      <protection/>
    </xf>
    <xf numFmtId="9" fontId="0" fillId="0" borderId="24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 horizontal="left"/>
      <protection/>
    </xf>
    <xf numFmtId="1" fontId="0" fillId="0" borderId="18" xfId="0" applyNumberFormat="1" applyFont="1" applyBorder="1" applyAlignment="1" applyProtection="1" quotePrefix="1">
      <alignment horizontal="center"/>
      <protection/>
    </xf>
    <xf numFmtId="2" fontId="1" fillId="0" borderId="26" xfId="0" applyNumberFormat="1" applyFont="1" applyBorder="1" applyAlignment="1" applyProtection="1">
      <alignment horizontal="left"/>
      <protection/>
    </xf>
    <xf numFmtId="2" fontId="1" fillId="0" borderId="16" xfId="0" applyNumberFormat="1" applyFont="1" applyBorder="1" applyAlignment="1" applyProtection="1">
      <alignment horizontal="left"/>
      <protection/>
    </xf>
    <xf numFmtId="2" fontId="0" fillId="0" borderId="18" xfId="0" applyNumberFormat="1" applyFont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2" fontId="4" fillId="0" borderId="30" xfId="0" applyNumberFormat="1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left"/>
      <protection/>
    </xf>
    <xf numFmtId="2" fontId="1" fillId="0" borderId="31" xfId="0" applyNumberFormat="1" applyFont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2" fontId="0" fillId="0" borderId="17" xfId="0" applyNumberFormat="1" applyFont="1" applyBorder="1" applyAlignment="1" applyProtection="1">
      <alignment horizontal="right"/>
      <protection/>
    </xf>
    <xf numFmtId="172" fontId="0" fillId="0" borderId="18" xfId="0" applyNumberFormat="1" applyBorder="1" applyAlignment="1" applyProtection="1">
      <alignment/>
      <protection/>
    </xf>
    <xf numFmtId="0" fontId="0" fillId="0" borderId="24" xfId="0" applyBorder="1" applyAlignment="1" applyProtection="1">
      <alignment horizontal="left"/>
      <protection/>
    </xf>
    <xf numFmtId="2" fontId="3" fillId="0" borderId="18" xfId="0" applyNumberFormat="1" applyFont="1" applyBorder="1" applyAlignment="1" applyProtection="1">
      <alignment horizontal="right"/>
      <protection/>
    </xf>
    <xf numFmtId="172" fontId="0" fillId="0" borderId="18" xfId="0" applyNumberFormat="1" applyBorder="1" applyAlignment="1" applyProtection="1">
      <alignment horizontal="right"/>
      <protection/>
    </xf>
    <xf numFmtId="2" fontId="0" fillId="0" borderId="18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0" fontId="9" fillId="0" borderId="0" xfId="21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9" fontId="7" fillId="0" borderId="0" xfId="21" applyFont="1" applyAlignment="1" applyProtection="1">
      <alignment horizontal="center"/>
      <protection/>
    </xf>
    <xf numFmtId="203" fontId="0" fillId="0" borderId="0" xfId="0" applyNumberFormat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0" fillId="0" borderId="18" xfId="0" applyBorder="1" applyAlignment="1" applyProtection="1" quotePrefix="1">
      <alignment horizontal="right"/>
      <protection/>
    </xf>
    <xf numFmtId="2" fontId="0" fillId="0" borderId="18" xfId="0" applyNumberForma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8" xfId="0" applyFill="1" applyBorder="1" applyAlignment="1" applyProtection="1" quotePrefix="1">
      <alignment horizontal="right"/>
      <protection/>
    </xf>
    <xf numFmtId="0" fontId="0" fillId="0" borderId="18" xfId="0" applyFont="1" applyBorder="1" applyAlignment="1" applyProtection="1" quotePrefix="1">
      <alignment horizontal="right"/>
      <protection/>
    </xf>
    <xf numFmtId="0" fontId="1" fillId="0" borderId="16" xfId="0" applyFont="1" applyBorder="1" applyAlignment="1" applyProtection="1">
      <alignment/>
      <protection/>
    </xf>
    <xf numFmtId="2" fontId="0" fillId="0" borderId="18" xfId="0" applyNumberFormat="1" applyFont="1" applyBorder="1" applyAlignment="1" applyProtection="1" quotePrefix="1">
      <alignment horizontal="right"/>
      <protection/>
    </xf>
    <xf numFmtId="0" fontId="1" fillId="0" borderId="18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9" fontId="7" fillId="0" borderId="22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10" fontId="0" fillId="0" borderId="18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2" fontId="1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Alignment="1" applyProtection="1">
      <alignment/>
      <protection/>
    </xf>
    <xf numFmtId="9" fontId="7" fillId="0" borderId="33" xfId="21" applyFont="1" applyBorder="1" applyAlignment="1" applyProtection="1">
      <alignment horizontal="center"/>
      <protection/>
    </xf>
    <xf numFmtId="9" fontId="1" fillId="0" borderId="22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 locked="0"/>
    </xf>
    <xf numFmtId="2" fontId="5" fillId="0" borderId="31" xfId="0" applyNumberFormat="1" applyFont="1" applyBorder="1" applyAlignment="1" applyProtection="1">
      <alignment horizontal="center"/>
      <protection locked="0"/>
    </xf>
    <xf numFmtId="172" fontId="5" fillId="0" borderId="18" xfId="0" applyNumberFormat="1" applyFont="1" applyFill="1" applyBorder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 horizontal="right"/>
      <protection/>
    </xf>
    <xf numFmtId="44" fontId="4" fillId="0" borderId="24" xfId="19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/>
      <protection/>
    </xf>
    <xf numFmtId="44" fontId="4" fillId="0" borderId="24" xfId="19" applyFont="1" applyBorder="1" applyAlignment="1" applyProtection="1">
      <alignment horizontal="left"/>
      <protection/>
    </xf>
    <xf numFmtId="172" fontId="22" fillId="0" borderId="0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right"/>
      <protection/>
    </xf>
    <xf numFmtId="0" fontId="10" fillId="0" borderId="3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23" fillId="0" borderId="16" xfId="0" applyFont="1" applyBorder="1" applyAlignment="1" applyProtection="1">
      <alignment horizontal="left"/>
      <protection/>
    </xf>
    <xf numFmtId="2" fontId="23" fillId="0" borderId="34" xfId="0" applyNumberFormat="1" applyFont="1" applyBorder="1" applyAlignment="1" applyProtection="1">
      <alignment horizontal="left"/>
      <protection/>
    </xf>
    <xf numFmtId="2" fontId="49" fillId="0" borderId="16" xfId="0" applyNumberFormat="1" applyFont="1" applyBorder="1" applyAlignment="1" applyProtection="1">
      <alignment horizontal="left"/>
      <protection/>
    </xf>
    <xf numFmtId="0" fontId="8" fillId="5" borderId="10" xfId="0" applyFont="1" applyFill="1" applyBorder="1" applyAlignment="1" applyProtection="1">
      <alignment/>
      <protection/>
    </xf>
    <xf numFmtId="9" fontId="9" fillId="0" borderId="18" xfId="0" applyNumberFormat="1" applyFont="1" applyBorder="1" applyAlignment="1" applyProtection="1">
      <alignment/>
      <protection/>
    </xf>
    <xf numFmtId="2" fontId="9" fillId="0" borderId="26" xfId="0" applyNumberFormat="1" applyFont="1" applyBorder="1" applyAlignment="1" applyProtection="1">
      <alignment horizontal="left"/>
      <protection/>
    </xf>
    <xf numFmtId="0" fontId="0" fillId="0" borderId="17" xfId="0" applyFont="1" applyBorder="1" applyAlignment="1" applyProtection="1" quotePrefix="1">
      <alignment horizontal="center"/>
      <protection/>
    </xf>
    <xf numFmtId="49" fontId="41" fillId="0" borderId="17" xfId="0" applyNumberFormat="1" applyFont="1" applyBorder="1" applyAlignment="1" applyProtection="1">
      <alignment horizontal="left"/>
      <protection/>
    </xf>
    <xf numFmtId="2" fontId="0" fillId="0" borderId="35" xfId="0" applyNumberForma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0" fillId="0" borderId="17" xfId="0" applyBorder="1" applyAlignment="1" applyProtection="1" quotePrefix="1">
      <alignment horizontal="right"/>
      <protection/>
    </xf>
    <xf numFmtId="2" fontId="0" fillId="0" borderId="17" xfId="0" applyNumberFormat="1" applyBorder="1" applyAlignment="1" applyProtection="1">
      <alignment horizontal="left"/>
      <protection/>
    </xf>
    <xf numFmtId="0" fontId="31" fillId="0" borderId="14" xfId="0" applyFont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right"/>
      <protection locked="0"/>
    </xf>
    <xf numFmtId="0" fontId="51" fillId="0" borderId="35" xfId="0" applyFont="1" applyBorder="1" applyAlignment="1" applyProtection="1">
      <alignment horizontal="left"/>
      <protection/>
    </xf>
    <xf numFmtId="0" fontId="51" fillId="0" borderId="26" xfId="0" applyFont="1" applyBorder="1" applyAlignment="1" applyProtection="1">
      <alignment horizontal="left"/>
      <protection/>
    </xf>
    <xf numFmtId="0" fontId="1" fillId="3" borderId="11" xfId="0" applyFont="1" applyFill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9" borderId="0" xfId="0" applyFont="1" applyFill="1" applyAlignment="1" applyProtection="1">
      <alignment/>
      <protection/>
    </xf>
    <xf numFmtId="0" fontId="8" fillId="8" borderId="0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2" fillId="10" borderId="0" xfId="0" applyFont="1" applyFill="1" applyAlignment="1" applyProtection="1">
      <alignment/>
      <protection/>
    </xf>
    <xf numFmtId="0" fontId="2" fillId="9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11" borderId="0" xfId="0" applyFont="1" applyFill="1" applyAlignment="1" applyProtection="1">
      <alignment/>
      <protection/>
    </xf>
    <xf numFmtId="0" fontId="2" fillId="3" borderId="37" xfId="0" applyFont="1" applyFill="1" applyBorder="1" applyAlignment="1" applyProtection="1">
      <alignment/>
      <protection/>
    </xf>
    <xf numFmtId="0" fontId="8" fillId="3" borderId="37" xfId="0" applyFont="1" applyFill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2" fontId="0" fillId="0" borderId="28" xfId="0" applyNumberForma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44" fontId="13" fillId="0" borderId="24" xfId="19" applyFont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/>
      <protection/>
    </xf>
    <xf numFmtId="2" fontId="5" fillId="0" borderId="15" xfId="19" applyNumberFormat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/>
      <protection/>
    </xf>
    <xf numFmtId="0" fontId="54" fillId="3" borderId="0" xfId="15" applyFont="1" applyFill="1" applyAlignment="1" applyProtection="1">
      <alignment/>
      <protection/>
    </xf>
    <xf numFmtId="10" fontId="5" fillId="0" borderId="18" xfId="0" applyNumberFormat="1" applyFont="1" applyBorder="1" applyAlignment="1" applyProtection="1">
      <alignment/>
      <protection locked="0"/>
    </xf>
    <xf numFmtId="0" fontId="16" fillId="0" borderId="0" xfId="15" applyBorder="1" applyAlignment="1" applyProtection="1">
      <alignment horizontal="left"/>
      <protection hidden="1"/>
    </xf>
    <xf numFmtId="0" fontId="0" fillId="12" borderId="0" xfId="0" applyFill="1" applyAlignment="1" applyProtection="1">
      <alignment/>
      <protection/>
    </xf>
    <xf numFmtId="0" fontId="0" fillId="0" borderId="32" xfId="0" applyBorder="1" applyAlignment="1" applyProtection="1">
      <alignment horizontal="right"/>
      <protection/>
    </xf>
    <xf numFmtId="172" fontId="56" fillId="4" borderId="26" xfId="0" applyNumberFormat="1" applyFont="1" applyFill="1" applyBorder="1" applyAlignment="1" applyProtection="1">
      <alignment/>
      <protection/>
    </xf>
    <xf numFmtId="2" fontId="57" fillId="4" borderId="29" xfId="0" applyNumberFormat="1" applyFont="1" applyFill="1" applyBorder="1" applyAlignment="1" applyProtection="1">
      <alignment horizontal="right"/>
      <protection/>
    </xf>
    <xf numFmtId="2" fontId="58" fillId="4" borderId="24" xfId="0" applyNumberFormat="1" applyFont="1" applyFill="1" applyBorder="1" applyAlignment="1" applyProtection="1">
      <alignment horizontal="left"/>
      <protection/>
    </xf>
    <xf numFmtId="172" fontId="59" fillId="4" borderId="26" xfId="0" applyNumberFormat="1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55" fillId="12" borderId="39" xfId="0" applyFont="1" applyFill="1" applyBorder="1" applyAlignment="1" applyProtection="1">
      <alignment/>
      <protection/>
    </xf>
    <xf numFmtId="0" fontId="55" fillId="12" borderId="40" xfId="0" applyFont="1" applyFill="1" applyBorder="1" applyAlignment="1" applyProtection="1">
      <alignment/>
      <protection/>
    </xf>
    <xf numFmtId="2" fontId="7" fillId="0" borderId="31" xfId="0" applyNumberFormat="1" applyFont="1" applyBorder="1" applyAlignment="1" applyProtection="1">
      <alignment horizontal="center"/>
      <protection locked="0"/>
    </xf>
    <xf numFmtId="2" fontId="7" fillId="0" borderId="31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left"/>
      <protection/>
    </xf>
    <xf numFmtId="0" fontId="1" fillId="8" borderId="0" xfId="0" applyFont="1" applyFill="1" applyBorder="1" applyAlignment="1" applyProtection="1">
      <alignment/>
      <protection/>
    </xf>
    <xf numFmtId="9" fontId="1" fillId="8" borderId="0" xfId="0" applyNumberFormat="1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63" fillId="4" borderId="4" xfId="0" applyFont="1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9" fontId="7" fillId="4" borderId="7" xfId="21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5" fillId="4" borderId="41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5" fillId="4" borderId="42" xfId="0" applyFont="1" applyFill="1" applyBorder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46" fillId="0" borderId="35" xfId="0" applyFont="1" applyBorder="1" applyAlignment="1" applyProtection="1">
      <alignment horizontal="left"/>
      <protection locked="0"/>
    </xf>
    <xf numFmtId="0" fontId="48" fillId="0" borderId="14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7" fillId="7" borderId="18" xfId="0" applyFont="1" applyFill="1" applyBorder="1" applyAlignment="1" applyProtection="1">
      <alignment/>
      <protection/>
    </xf>
    <xf numFmtId="0" fontId="7" fillId="4" borderId="18" xfId="0" applyFont="1" applyFill="1" applyBorder="1" applyAlignment="1" applyProtection="1">
      <alignment/>
      <protection/>
    </xf>
    <xf numFmtId="0" fontId="53" fillId="12" borderId="18" xfId="0" applyFont="1" applyFill="1" applyBorder="1" applyAlignment="1" applyProtection="1">
      <alignment/>
      <protection/>
    </xf>
    <xf numFmtId="0" fontId="0" fillId="12" borderId="18" xfId="0" applyFill="1" applyBorder="1" applyAlignment="1" applyProtection="1">
      <alignment/>
      <protection/>
    </xf>
    <xf numFmtId="9" fontId="8" fillId="2" borderId="44" xfId="21" applyFont="1" applyFill="1" applyBorder="1" applyAlignment="1" applyProtection="1">
      <alignment/>
      <protection/>
    </xf>
    <xf numFmtId="9" fontId="8" fillId="2" borderId="45" xfId="21" applyFont="1" applyFill="1" applyBorder="1" applyAlignment="1" applyProtection="1">
      <alignment/>
      <protection/>
    </xf>
    <xf numFmtId="9" fontId="8" fillId="5" borderId="45" xfId="21" applyFont="1" applyFill="1" applyBorder="1" applyAlignment="1" applyProtection="1">
      <alignment/>
      <protection/>
    </xf>
    <xf numFmtId="9" fontId="8" fillId="5" borderId="46" xfId="21" applyFont="1" applyFill="1" applyBorder="1" applyAlignment="1" applyProtection="1">
      <alignment/>
      <protection/>
    </xf>
    <xf numFmtId="0" fontId="7" fillId="0" borderId="47" xfId="0" applyFont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1" fillId="0" borderId="15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0" fillId="0" borderId="26" xfId="0" applyNumberForma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0" borderId="17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196" fontId="7" fillId="0" borderId="18" xfId="0" applyNumberFormat="1" applyFont="1" applyBorder="1" applyAlignment="1" applyProtection="1">
      <alignment/>
      <protection/>
    </xf>
    <xf numFmtId="17" fontId="6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9" fontId="5" fillId="0" borderId="18" xfId="21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/>
      <protection/>
    </xf>
    <xf numFmtId="0" fontId="10" fillId="4" borderId="50" xfId="0" applyFont="1" applyFill="1" applyBorder="1" applyAlignment="1" applyProtection="1">
      <alignment/>
      <protection/>
    </xf>
    <xf numFmtId="0" fontId="6" fillId="4" borderId="51" xfId="0" applyFont="1" applyFill="1" applyBorder="1" applyAlignment="1" applyProtection="1">
      <alignment/>
      <protection/>
    </xf>
    <xf numFmtId="1" fontId="66" fillId="4" borderId="52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13" fillId="0" borderId="53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9" fontId="1" fillId="0" borderId="0" xfId="0" applyNumberFormat="1" applyFont="1" applyBorder="1" applyAlignment="1" applyProtection="1">
      <alignment/>
      <protection/>
    </xf>
    <xf numFmtId="9" fontId="67" fillId="4" borderId="52" xfId="21" applyFont="1" applyFill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0" fontId="0" fillId="13" borderId="0" xfId="0" applyFill="1" applyBorder="1" applyAlignment="1" applyProtection="1">
      <alignment horizontal="left" indent="1"/>
      <protection/>
    </xf>
    <xf numFmtId="0" fontId="0" fillId="13" borderId="28" xfId="0" applyFill="1" applyBorder="1" applyAlignment="1" applyProtection="1">
      <alignment horizontal="left" indent="1"/>
      <protection/>
    </xf>
    <xf numFmtId="0" fontId="34" fillId="13" borderId="28" xfId="0" applyFont="1" applyFill="1" applyBorder="1" applyAlignment="1" applyProtection="1">
      <alignment horizontal="left" indent="1"/>
      <protection/>
    </xf>
    <xf numFmtId="0" fontId="18" fillId="13" borderId="28" xfId="0" applyFont="1" applyFill="1" applyBorder="1" applyAlignment="1" applyProtection="1">
      <alignment horizontal="left" indent="1"/>
      <protection/>
    </xf>
    <xf numFmtId="0" fontId="0" fillId="13" borderId="16" xfId="0" applyFill="1" applyBorder="1" applyAlignment="1" applyProtection="1">
      <alignment/>
      <protection/>
    </xf>
    <xf numFmtId="0" fontId="0" fillId="13" borderId="34" xfId="0" applyFill="1" applyBorder="1" applyAlignment="1" applyProtection="1">
      <alignment horizontal="left" indent="1"/>
      <protection/>
    </xf>
    <xf numFmtId="0" fontId="0" fillId="13" borderId="54" xfId="0" applyFill="1" applyBorder="1" applyAlignment="1" applyProtection="1">
      <alignment horizontal="left" indent="1"/>
      <protection/>
    </xf>
    <xf numFmtId="0" fontId="0" fillId="13" borderId="28" xfId="0" applyFill="1" applyBorder="1" applyAlignment="1" applyProtection="1">
      <alignment/>
      <protection/>
    </xf>
    <xf numFmtId="0" fontId="0" fillId="13" borderId="0" xfId="0" applyFill="1" applyAlignment="1" applyProtection="1">
      <alignment horizontal="left" indent="1"/>
      <protection/>
    </xf>
    <xf numFmtId="0" fontId="36" fillId="5" borderId="4" xfId="0" applyFont="1" applyFill="1" applyBorder="1" applyAlignment="1" applyProtection="1">
      <alignment horizontal="left"/>
      <protection/>
    </xf>
    <xf numFmtId="0" fontId="18" fillId="5" borderId="38" xfId="0" applyFont="1" applyFill="1" applyBorder="1" applyAlignment="1" applyProtection="1">
      <alignment horizontal="left"/>
      <protection/>
    </xf>
    <xf numFmtId="0" fontId="0" fillId="5" borderId="7" xfId="0" applyFill="1" applyBorder="1" applyAlignment="1" applyProtection="1">
      <alignment/>
      <protection/>
    </xf>
    <xf numFmtId="0" fontId="36" fillId="5" borderId="6" xfId="0" applyFont="1" applyFill="1" applyBorder="1" applyAlignment="1" applyProtection="1">
      <alignment/>
      <protection/>
    </xf>
    <xf numFmtId="0" fontId="18" fillId="5" borderId="28" xfId="0" applyFont="1" applyFill="1" applyBorder="1" applyAlignment="1" applyProtection="1">
      <alignment horizontal="left" indent="1"/>
      <protection/>
    </xf>
    <xf numFmtId="0" fontId="0" fillId="5" borderId="9" xfId="0" applyFill="1" applyBorder="1" applyAlignment="1" applyProtection="1">
      <alignment horizontal="left" indent="1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 quotePrefix="1">
      <alignment horizontal="center"/>
      <protection/>
    </xf>
    <xf numFmtId="0" fontId="0" fillId="0" borderId="53" xfId="0" applyBorder="1" applyAlignment="1" applyProtection="1">
      <alignment horizontal="left"/>
      <protection/>
    </xf>
    <xf numFmtId="0" fontId="0" fillId="0" borderId="19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/>
      <protection/>
    </xf>
    <xf numFmtId="0" fontId="63" fillId="5" borderId="55" xfId="0" applyFont="1" applyFill="1" applyBorder="1" applyAlignment="1" applyProtection="1">
      <alignment/>
      <protection/>
    </xf>
    <xf numFmtId="0" fontId="23" fillId="5" borderId="55" xfId="0" applyFont="1" applyFill="1" applyBorder="1" applyAlignment="1" applyProtection="1">
      <alignment/>
      <protection/>
    </xf>
    <xf numFmtId="1" fontId="63" fillId="5" borderId="55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32" fillId="14" borderId="0" xfId="0" applyFont="1" applyFill="1" applyBorder="1" applyAlignment="1" applyProtection="1">
      <alignment/>
      <protection/>
    </xf>
    <xf numFmtId="0" fontId="0" fillId="14" borderId="0" xfId="0" applyFill="1" applyBorder="1" applyAlignment="1" applyProtection="1">
      <alignment/>
      <protection/>
    </xf>
    <xf numFmtId="2" fontId="3" fillId="14" borderId="0" xfId="0" applyNumberFormat="1" applyFont="1" applyFill="1" applyBorder="1" applyAlignment="1" applyProtection="1">
      <alignment horizontal="right"/>
      <protection/>
    </xf>
    <xf numFmtId="1" fontId="0" fillId="14" borderId="0" xfId="0" applyNumberFormat="1" applyFill="1" applyAlignment="1" applyProtection="1">
      <alignment/>
      <protection/>
    </xf>
    <xf numFmtId="0" fontId="1" fillId="14" borderId="0" xfId="0" applyFont="1" applyFill="1" applyBorder="1" applyAlignment="1" applyProtection="1">
      <alignment/>
      <protection/>
    </xf>
    <xf numFmtId="44" fontId="0" fillId="14" borderId="0" xfId="0" applyNumberFormat="1" applyFill="1" applyBorder="1" applyAlignment="1" applyProtection="1">
      <alignment/>
      <protection/>
    </xf>
    <xf numFmtId="0" fontId="54" fillId="14" borderId="0" xfId="15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38" fillId="14" borderId="0" xfId="0" applyFont="1" applyFill="1" applyAlignment="1" applyProtection="1">
      <alignment/>
      <protection/>
    </xf>
    <xf numFmtId="0" fontId="68" fillId="14" borderId="0" xfId="0" applyFont="1" applyFill="1" applyAlignment="1" applyProtection="1">
      <alignment/>
      <protection/>
    </xf>
    <xf numFmtId="0" fontId="0" fillId="13" borderId="0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67</xdr:row>
      <xdr:rowOff>104775</xdr:rowOff>
    </xdr:from>
    <xdr:to>
      <xdr:col>7</xdr:col>
      <xdr:colOff>790575</xdr:colOff>
      <xdr:row>67</xdr:row>
      <xdr:rowOff>104775</xdr:rowOff>
    </xdr:to>
    <xdr:sp>
      <xdr:nvSpPr>
        <xdr:cNvPr id="1" name="Line 217"/>
        <xdr:cNvSpPr>
          <a:spLocks/>
        </xdr:cNvSpPr>
      </xdr:nvSpPr>
      <xdr:spPr>
        <a:xfrm flipV="1">
          <a:off x="8524875" y="1028700"/>
          <a:ext cx="5143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http://www.celestecompromiso.com.ar/" TargetMode="External" /><Relationship Id="rId4" Type="http://schemas.openxmlformats.org/officeDocument/2006/relationships/hyperlink" Target="http://www.porunagmerdetodos.com.ar/" TargetMode="External" /><Relationship Id="rId5" Type="http://schemas.openxmlformats.org/officeDocument/2006/relationships/hyperlink" Target="mailto:victorhutt@victorhutt.com.ar" TargetMode="External" /><Relationship Id="rId6" Type="http://schemas.openxmlformats.org/officeDocument/2006/relationships/hyperlink" Target="mailto:victorhutt@victorhutt.com.ar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B405"/>
  <sheetViews>
    <sheetView showGridLines="0" tabSelected="1" zoomScale="85" zoomScaleNormal="85" zoomScaleSheetLayoutView="75" workbookViewId="0" topLeftCell="A1">
      <selection activeCell="A1" sqref="A1"/>
    </sheetView>
  </sheetViews>
  <sheetFormatPr defaultColWidth="11.421875" defaultRowHeight="12.75"/>
  <cols>
    <col min="1" max="1" width="9.8515625" style="3" customWidth="1"/>
    <col min="2" max="2" width="16.00390625" style="3" customWidth="1"/>
    <col min="3" max="3" width="11.57421875" style="3" customWidth="1"/>
    <col min="4" max="4" width="36.140625" style="3" customWidth="1"/>
    <col min="5" max="5" width="15.7109375" style="3" customWidth="1"/>
    <col min="6" max="6" width="16.28125" style="3" customWidth="1"/>
    <col min="7" max="7" width="18.140625" style="3" customWidth="1"/>
    <col min="8" max="8" width="13.8515625" style="3" customWidth="1"/>
    <col min="9" max="9" width="13.7109375" style="3" customWidth="1"/>
    <col min="10" max="10" width="27.7109375" style="3" customWidth="1"/>
    <col min="11" max="11" width="14.8515625" style="3" customWidth="1"/>
    <col min="12" max="12" width="15.57421875" style="3" customWidth="1"/>
    <col min="13" max="13" width="15.140625" style="3" customWidth="1"/>
    <col min="14" max="14" width="10.57421875" style="3" customWidth="1"/>
    <col min="15" max="15" width="11.421875" style="3" customWidth="1"/>
    <col min="16" max="16" width="28.28125" style="3" customWidth="1"/>
    <col min="17" max="17" width="13.00390625" style="3" customWidth="1"/>
    <col min="18" max="18" width="25.00390625" style="3" customWidth="1"/>
    <col min="19" max="19" width="20.7109375" style="3" customWidth="1"/>
    <col min="20" max="20" width="13.00390625" style="3" customWidth="1"/>
    <col min="21" max="21" width="14.00390625" style="3" customWidth="1"/>
    <col min="22" max="22" width="25.57421875" style="3" customWidth="1"/>
    <col min="23" max="23" width="18.28125" style="3" customWidth="1"/>
    <col min="24" max="24" width="27.57421875" style="3" customWidth="1"/>
    <col min="25" max="25" width="12.8515625" style="3" customWidth="1"/>
    <col min="26" max="16384" width="11.421875" style="3" customWidth="1"/>
  </cols>
  <sheetData>
    <row r="1" spans="1:11" ht="27.75" customHeight="1" thickBot="1">
      <c r="A1" s="426"/>
      <c r="B1" s="392" t="s">
        <v>549</v>
      </c>
      <c r="C1" s="393"/>
      <c r="D1" s="393"/>
      <c r="E1" s="393"/>
      <c r="F1" s="393"/>
      <c r="G1" s="394"/>
      <c r="H1" s="390"/>
      <c r="I1" s="390"/>
      <c r="J1" s="390"/>
      <c r="K1" s="387"/>
    </row>
    <row r="2" spans="1:11" ht="18.75" thickBot="1">
      <c r="A2" s="383"/>
      <c r="B2" s="395" t="s">
        <v>550</v>
      </c>
      <c r="C2" s="396"/>
      <c r="D2" s="396"/>
      <c r="E2" s="396"/>
      <c r="F2" s="396"/>
      <c r="G2" s="397"/>
      <c r="H2" s="391"/>
      <c r="I2" s="391"/>
      <c r="J2" s="391"/>
      <c r="K2" s="388"/>
    </row>
    <row r="3" spans="1:11" ht="18.75" thickBot="1">
      <c r="A3" s="384"/>
      <c r="B3" s="385"/>
      <c r="C3" s="386"/>
      <c r="D3" s="386"/>
      <c r="E3" s="386"/>
      <c r="F3" s="386"/>
      <c r="G3" s="384"/>
      <c r="H3" s="384"/>
      <c r="I3" s="384"/>
      <c r="J3" s="384"/>
      <c r="K3" s="389"/>
    </row>
    <row r="4" ht="15.75">
      <c r="B4" s="12"/>
    </row>
    <row r="5" spans="2:7" ht="18.75" hidden="1" thickBot="1">
      <c r="B5" s="135" t="s">
        <v>63</v>
      </c>
      <c r="C5" s="48" t="s">
        <v>34</v>
      </c>
      <c r="D5" s="49"/>
      <c r="E5" s="135" t="s">
        <v>63</v>
      </c>
      <c r="F5" s="29"/>
      <c r="G5" s="29"/>
    </row>
    <row r="6" spans="3:4" ht="18" hidden="1">
      <c r="C6" s="136" t="s">
        <v>434</v>
      </c>
      <c r="D6" s="137"/>
    </row>
    <row r="7" spans="2:4" ht="18" hidden="1">
      <c r="B7" s="138"/>
      <c r="C7" s="136" t="s">
        <v>35</v>
      </c>
      <c r="D7" s="137"/>
    </row>
    <row r="8" spans="2:4" ht="18" hidden="1">
      <c r="B8" s="138"/>
      <c r="C8" s="136" t="s">
        <v>36</v>
      </c>
      <c r="D8" s="137"/>
    </row>
    <row r="9" spans="2:7" ht="24" customHeight="1" hidden="1" thickBot="1">
      <c r="B9" s="135" t="s">
        <v>63</v>
      </c>
      <c r="C9" s="50" t="s">
        <v>433</v>
      </c>
      <c r="D9" s="139"/>
      <c r="E9" s="135" t="s">
        <v>63</v>
      </c>
      <c r="G9" s="318" t="s">
        <v>506</v>
      </c>
    </row>
    <row r="10" ht="12.75" hidden="1"/>
    <row r="11" ht="12.75" hidden="1">
      <c r="A11" s="13"/>
    </row>
    <row r="12" ht="12.75" hidden="1">
      <c r="A12" s="27"/>
    </row>
    <row r="13" ht="12.75" hidden="1">
      <c r="A13" s="27"/>
    </row>
    <row r="14" ht="18" hidden="1">
      <c r="A14" s="319" t="s">
        <v>26</v>
      </c>
    </row>
    <row r="15" spans="1:5" ht="13.5" hidden="1" thickBot="1">
      <c r="A15" s="140"/>
      <c r="B15" s="140"/>
      <c r="C15" s="140"/>
      <c r="D15" s="302"/>
      <c r="E15" s="141"/>
    </row>
    <row r="16" spans="1:5" ht="21.75" customHeight="1" hidden="1" thickBot="1" thickTop="1">
      <c r="A16" s="142" t="s">
        <v>34</v>
      </c>
      <c r="B16" s="129"/>
      <c r="C16" s="311" t="s">
        <v>54</v>
      </c>
      <c r="D16" s="310" t="s">
        <v>54</v>
      </c>
      <c r="E16" s="143" t="s">
        <v>54</v>
      </c>
    </row>
    <row r="17" spans="1:5" ht="15.75" customHeight="1" hidden="1">
      <c r="A17" s="144"/>
      <c r="B17" s="145"/>
      <c r="C17" s="145"/>
      <c r="D17" s="302"/>
      <c r="E17" s="141"/>
    </row>
    <row r="18" spans="1:8" ht="15.75" hidden="1">
      <c r="A18" s="146" t="s">
        <v>435</v>
      </c>
      <c r="B18" s="21"/>
      <c r="C18" s="21"/>
      <c r="D18" s="21"/>
      <c r="E18" s="21"/>
      <c r="F18" s="21"/>
      <c r="G18" s="21"/>
      <c r="H18" s="21"/>
    </row>
    <row r="19" spans="1:8" ht="15.75" hidden="1">
      <c r="A19" s="127" t="s">
        <v>438</v>
      </c>
      <c r="B19" s="21"/>
      <c r="C19" s="21"/>
      <c r="D19" s="21"/>
      <c r="E19" s="21"/>
      <c r="F19" s="21"/>
      <c r="G19" s="21"/>
      <c r="H19" s="21"/>
    </row>
    <row r="20" spans="1:8" ht="15" hidden="1">
      <c r="A20" s="127"/>
      <c r="B20" s="21"/>
      <c r="C20" s="21"/>
      <c r="D20" s="21"/>
      <c r="E20" s="21"/>
      <c r="F20" s="21"/>
      <c r="G20" s="21"/>
      <c r="H20" s="21"/>
    </row>
    <row r="21" spans="1:8" ht="15.75" hidden="1">
      <c r="A21" s="127" t="s">
        <v>439</v>
      </c>
      <c r="B21" s="21"/>
      <c r="C21" s="21"/>
      <c r="D21" s="21"/>
      <c r="E21" s="21"/>
      <c r="F21" s="21"/>
      <c r="G21" s="21"/>
      <c r="H21" s="21"/>
    </row>
    <row r="22" spans="1:8" ht="15" hidden="1">
      <c r="A22" s="127"/>
      <c r="B22" s="21"/>
      <c r="C22" s="21"/>
      <c r="D22" s="21"/>
      <c r="E22" s="21"/>
      <c r="F22" s="21"/>
      <c r="G22" s="21"/>
      <c r="H22" s="21"/>
    </row>
    <row r="23" spans="1:8" ht="15" hidden="1">
      <c r="A23" s="127" t="s">
        <v>27</v>
      </c>
      <c r="B23" s="21"/>
      <c r="C23" s="21"/>
      <c r="D23" s="21"/>
      <c r="E23" s="21"/>
      <c r="F23" s="113"/>
      <c r="G23" s="21"/>
      <c r="H23" s="21"/>
    </row>
    <row r="24" spans="1:8" ht="15" hidden="1">
      <c r="A24" s="127" t="s">
        <v>28</v>
      </c>
      <c r="B24" s="21"/>
      <c r="C24" s="21"/>
      <c r="D24" s="21"/>
      <c r="E24" s="21"/>
      <c r="F24" s="21"/>
      <c r="G24" s="21"/>
      <c r="H24" s="21"/>
    </row>
    <row r="25" spans="1:8" ht="15" hidden="1">
      <c r="A25" s="127"/>
      <c r="B25" s="21"/>
      <c r="C25" s="21"/>
      <c r="D25" s="21"/>
      <c r="E25" s="21"/>
      <c r="F25" s="21"/>
      <c r="G25" s="21"/>
      <c r="H25" s="21"/>
    </row>
    <row r="26" spans="1:8" ht="15" hidden="1">
      <c r="A26" s="127" t="s">
        <v>492</v>
      </c>
      <c r="B26" s="21"/>
      <c r="C26" s="21"/>
      <c r="D26" s="21"/>
      <c r="E26" s="21"/>
      <c r="F26" s="21"/>
      <c r="G26" s="21"/>
      <c r="H26" s="21"/>
    </row>
    <row r="27" spans="1:8" ht="15.75" hidden="1">
      <c r="A27" s="127" t="s">
        <v>453</v>
      </c>
      <c r="B27" s="21"/>
      <c r="C27" s="21"/>
      <c r="D27" s="21"/>
      <c r="E27" s="21"/>
      <c r="F27" s="21"/>
      <c r="G27" s="21"/>
      <c r="H27" s="21"/>
    </row>
    <row r="28" spans="1:8" ht="14.25" hidden="1">
      <c r="A28" s="125"/>
      <c r="B28" s="21"/>
      <c r="C28" s="21"/>
      <c r="D28" s="21"/>
      <c r="E28" s="21"/>
      <c r="F28" s="21"/>
      <c r="G28" s="21"/>
      <c r="H28" s="21"/>
    </row>
    <row r="29" spans="1:8" ht="14.25" hidden="1">
      <c r="A29" s="125" t="s">
        <v>436</v>
      </c>
      <c r="B29" s="21"/>
      <c r="C29" s="21"/>
      <c r="D29" s="21"/>
      <c r="E29" s="21"/>
      <c r="F29" s="21"/>
      <c r="G29" s="21"/>
      <c r="H29" s="21"/>
    </row>
    <row r="30" spans="1:8" ht="14.25" hidden="1">
      <c r="A30" s="125" t="s">
        <v>493</v>
      </c>
      <c r="B30" s="21"/>
      <c r="C30" s="21"/>
      <c r="D30" s="21"/>
      <c r="E30" s="21"/>
      <c r="F30" s="21"/>
      <c r="G30" s="21"/>
      <c r="H30" s="21"/>
    </row>
    <row r="31" spans="1:8" ht="14.25" hidden="1">
      <c r="A31" s="125" t="s">
        <v>437</v>
      </c>
      <c r="B31" s="21"/>
      <c r="C31" s="21"/>
      <c r="D31" s="21"/>
      <c r="E31" s="21"/>
      <c r="F31" s="21"/>
      <c r="G31" s="21"/>
      <c r="H31" s="21"/>
    </row>
    <row r="32" spans="1:8" ht="15.75" hidden="1">
      <c r="A32" s="125"/>
      <c r="B32" s="126" t="s">
        <v>443</v>
      </c>
      <c r="C32" s="21"/>
      <c r="D32" s="21"/>
      <c r="E32" s="21"/>
      <c r="F32" s="21"/>
      <c r="G32" s="21"/>
      <c r="H32" s="21"/>
    </row>
    <row r="33" spans="1:8" ht="15.75" hidden="1">
      <c r="A33" s="125"/>
      <c r="B33" s="126"/>
      <c r="C33" s="21"/>
      <c r="D33" s="21"/>
      <c r="E33" s="21"/>
      <c r="F33" s="21"/>
      <c r="G33" s="21"/>
      <c r="H33" s="21"/>
    </row>
    <row r="34" spans="1:8" ht="12.75" hidden="1">
      <c r="A34" s="21" t="s">
        <v>57</v>
      </c>
      <c r="B34" s="21"/>
      <c r="C34" s="21"/>
      <c r="D34" s="21"/>
      <c r="E34" s="21"/>
      <c r="F34" s="21"/>
      <c r="G34" s="21"/>
      <c r="H34" s="21"/>
    </row>
    <row r="35" spans="1:8" ht="12.75" hidden="1">
      <c r="A35" s="21" t="s">
        <v>58</v>
      </c>
      <c r="B35" s="21"/>
      <c r="C35" s="21"/>
      <c r="D35" s="21"/>
      <c r="E35" s="21"/>
      <c r="F35" s="21"/>
      <c r="G35" s="21"/>
      <c r="H35" s="21"/>
    </row>
    <row r="36" spans="1:8" ht="12.75" hidden="1">
      <c r="A36" s="159" t="s">
        <v>454</v>
      </c>
      <c r="B36" s="21"/>
      <c r="C36" s="21"/>
      <c r="D36" s="21"/>
      <c r="E36" s="21"/>
      <c r="F36" s="21"/>
      <c r="G36" s="21"/>
      <c r="H36" s="21"/>
    </row>
    <row r="37" spans="1:8" ht="12.75" hidden="1">
      <c r="A37" s="21"/>
      <c r="B37" s="21"/>
      <c r="C37" s="21"/>
      <c r="D37" s="21"/>
      <c r="E37" s="21"/>
      <c r="F37" s="21"/>
      <c r="G37" s="21"/>
      <c r="H37" s="21"/>
    </row>
    <row r="38" spans="1:8" ht="15" hidden="1">
      <c r="A38" s="332" t="s">
        <v>536</v>
      </c>
      <c r="B38" s="21"/>
      <c r="C38" s="21"/>
      <c r="D38" s="21"/>
      <c r="E38" s="21"/>
      <c r="F38" s="21"/>
      <c r="G38" s="21"/>
      <c r="H38" s="21"/>
    </row>
    <row r="39" spans="1:8" ht="12.75" hidden="1">
      <c r="A39" s="21"/>
      <c r="B39" s="21"/>
      <c r="C39" s="21"/>
      <c r="D39" s="21"/>
      <c r="E39" s="21"/>
      <c r="F39" s="21"/>
      <c r="G39" s="21"/>
      <c r="H39" s="21"/>
    </row>
    <row r="40" spans="1:8" ht="12.75" hidden="1">
      <c r="A40" s="21"/>
      <c r="B40" s="21"/>
      <c r="C40" s="21"/>
      <c r="D40" s="21"/>
      <c r="E40" s="21"/>
      <c r="F40" s="21"/>
      <c r="G40" s="21"/>
      <c r="H40" s="21"/>
    </row>
    <row r="41" spans="1:8" ht="15.75" hidden="1">
      <c r="A41" s="334" t="s">
        <v>518</v>
      </c>
      <c r="B41" s="335"/>
      <c r="C41" s="333"/>
      <c r="D41" s="21"/>
      <c r="E41" s="21"/>
      <c r="F41" s="21"/>
      <c r="G41" s="21"/>
      <c r="H41" s="21"/>
    </row>
    <row r="42" spans="1:8" ht="15.75" hidden="1">
      <c r="A42" s="335" t="s">
        <v>513</v>
      </c>
      <c r="B42" s="335"/>
      <c r="C42" s="333"/>
      <c r="D42" s="21"/>
      <c r="E42" s="21"/>
      <c r="F42" s="21"/>
      <c r="G42" s="21"/>
      <c r="H42" s="21"/>
    </row>
    <row r="43" spans="1:8" ht="15.75" hidden="1">
      <c r="A43" s="335" t="s">
        <v>512</v>
      </c>
      <c r="B43" s="335"/>
      <c r="C43" s="333"/>
      <c r="D43" s="21"/>
      <c r="E43" s="21"/>
      <c r="F43" s="21"/>
      <c r="G43" s="21"/>
      <c r="H43" s="21"/>
    </row>
    <row r="44" spans="1:8" ht="15.75" hidden="1">
      <c r="A44" s="335" t="s">
        <v>514</v>
      </c>
      <c r="B44" s="335"/>
      <c r="C44" s="333"/>
      <c r="D44" s="21"/>
      <c r="E44" s="21"/>
      <c r="F44" s="21"/>
      <c r="G44" s="21"/>
      <c r="H44" s="21"/>
    </row>
    <row r="45" spans="1:8" ht="15.75" hidden="1">
      <c r="A45" s="335" t="s">
        <v>515</v>
      </c>
      <c r="B45" s="335"/>
      <c r="C45" s="333"/>
      <c r="D45" s="21"/>
      <c r="E45" s="21"/>
      <c r="F45" s="21"/>
      <c r="G45" s="21"/>
      <c r="H45" s="21"/>
    </row>
    <row r="46" spans="1:8" ht="15.75" hidden="1">
      <c r="A46" s="335" t="s">
        <v>535</v>
      </c>
      <c r="B46" s="335"/>
      <c r="C46" s="333"/>
      <c r="D46" s="21"/>
      <c r="E46" s="21"/>
      <c r="F46" s="21"/>
      <c r="G46" s="21"/>
      <c r="H46" s="21"/>
    </row>
    <row r="47" spans="1:8" s="275" customFormat="1" ht="15.75" hidden="1">
      <c r="A47" s="336" t="s">
        <v>516</v>
      </c>
      <c r="B47" s="335"/>
      <c r="C47" s="333"/>
      <c r="D47" s="276"/>
      <c r="E47" s="276"/>
      <c r="F47" s="276"/>
      <c r="G47" s="276"/>
      <c r="H47" s="276"/>
    </row>
    <row r="48" spans="1:8" s="275" customFormat="1" ht="15.75" hidden="1">
      <c r="A48" s="336" t="s">
        <v>517</v>
      </c>
      <c r="B48" s="335"/>
      <c r="C48" s="333"/>
      <c r="D48" s="276"/>
      <c r="E48" s="276"/>
      <c r="F48" s="276"/>
      <c r="G48" s="276"/>
      <c r="H48" s="276"/>
    </row>
    <row r="49" spans="2:8" ht="12.75" hidden="1">
      <c r="B49" s="21"/>
      <c r="C49" s="21"/>
      <c r="D49" s="21"/>
      <c r="E49" s="21"/>
      <c r="F49" s="21"/>
      <c r="G49" s="21"/>
      <c r="H49" s="21"/>
    </row>
    <row r="50" spans="1:8" ht="15" hidden="1">
      <c r="A50" s="337" t="s">
        <v>519</v>
      </c>
      <c r="B50" s="21"/>
      <c r="C50" s="21"/>
      <c r="D50" s="21"/>
      <c r="E50" s="21"/>
      <c r="F50" s="21"/>
      <c r="G50" s="21"/>
      <c r="H50" s="21"/>
    </row>
    <row r="51" spans="1:8" ht="12.75" hidden="1">
      <c r="A51" s="21"/>
      <c r="B51" s="21"/>
      <c r="C51" s="21"/>
      <c r="D51" s="21"/>
      <c r="E51" s="21"/>
      <c r="F51" s="21"/>
      <c r="G51" s="21"/>
      <c r="H51" s="21"/>
    </row>
    <row r="52" spans="1:8" ht="15" hidden="1">
      <c r="A52" s="298" t="s">
        <v>29</v>
      </c>
      <c r="B52" s="298"/>
      <c r="C52" s="298"/>
      <c r="D52" s="132"/>
      <c r="E52" s="21"/>
      <c r="F52" s="21"/>
      <c r="G52" s="21"/>
      <c r="H52" s="21"/>
    </row>
    <row r="53" spans="1:8" ht="15" hidden="1">
      <c r="A53" s="298" t="s">
        <v>55</v>
      </c>
      <c r="B53" s="298"/>
      <c r="C53" s="298"/>
      <c r="D53" s="132"/>
      <c r="E53" s="21"/>
      <c r="F53" s="21"/>
      <c r="G53" s="21"/>
      <c r="H53" s="21"/>
    </row>
    <row r="54" spans="1:4" ht="15" hidden="1">
      <c r="A54" s="298" t="s">
        <v>30</v>
      </c>
      <c r="B54" s="298"/>
      <c r="C54" s="298"/>
      <c r="D54" s="132"/>
    </row>
    <row r="55" spans="1:8" ht="15" hidden="1">
      <c r="A55" s="298" t="s">
        <v>428</v>
      </c>
      <c r="B55" s="298"/>
      <c r="C55" s="298"/>
      <c r="D55" s="132"/>
      <c r="E55" s="21"/>
      <c r="F55" s="21"/>
      <c r="G55" s="21"/>
      <c r="H55" s="21"/>
    </row>
    <row r="56" spans="1:8" ht="15" hidden="1">
      <c r="A56" s="299" t="s">
        <v>491</v>
      </c>
      <c r="B56" s="298"/>
      <c r="C56" s="298"/>
      <c r="D56" s="147"/>
      <c r="E56" s="21"/>
      <c r="F56" s="21"/>
      <c r="G56" s="21"/>
      <c r="H56" s="21"/>
    </row>
    <row r="57" spans="1:8" ht="15" hidden="1">
      <c r="A57" s="299" t="s">
        <v>66</v>
      </c>
      <c r="B57" s="298"/>
      <c r="C57" s="298"/>
      <c r="D57" s="147"/>
      <c r="H57" s="21"/>
    </row>
    <row r="58" spans="1:8" ht="15" hidden="1">
      <c r="A58" s="299" t="s">
        <v>485</v>
      </c>
      <c r="B58" s="298"/>
      <c r="C58" s="298"/>
      <c r="D58" s="147"/>
      <c r="H58" s="21"/>
    </row>
    <row r="59" ht="12" customHeight="1" hidden="1">
      <c r="H59" s="148"/>
    </row>
    <row r="60" spans="8:11" ht="17.25" customHeight="1" hidden="1">
      <c r="H60" s="148"/>
      <c r="I60" s="149" t="s">
        <v>33</v>
      </c>
      <c r="J60" s="149"/>
      <c r="K60" s="150" t="s">
        <v>459</v>
      </c>
    </row>
    <row r="61" spans="8:11" ht="12" customHeight="1" hidden="1" thickBot="1">
      <c r="H61" s="148"/>
      <c r="I61" s="149"/>
      <c r="J61" s="149"/>
      <c r="K61" s="150"/>
    </row>
    <row r="62" spans="3:11" ht="12" customHeight="1" hidden="1" thickBot="1">
      <c r="C62" s="96" t="s">
        <v>60</v>
      </c>
      <c r="D62" s="97"/>
      <c r="F62" s="3" t="s">
        <v>450</v>
      </c>
      <c r="G62" s="4"/>
      <c r="I62" s="57" t="s">
        <v>0</v>
      </c>
      <c r="J62" s="58" t="s">
        <v>65</v>
      </c>
      <c r="K62" s="59" t="s">
        <v>461</v>
      </c>
    </row>
    <row r="63" spans="3:13" ht="12" customHeight="1" hidden="1" thickBot="1">
      <c r="C63" s="98" t="s">
        <v>6</v>
      </c>
      <c r="D63" s="99">
        <v>0.2725</v>
      </c>
      <c r="F63" s="5" t="s">
        <v>20</v>
      </c>
      <c r="G63" s="31">
        <v>0.3141</v>
      </c>
      <c r="I63" s="84">
        <v>0</v>
      </c>
      <c r="J63" s="53">
        <v>0</v>
      </c>
      <c r="K63" s="23">
        <f>J63*1.5</f>
        <v>0</v>
      </c>
      <c r="L63" s="3" t="s">
        <v>460</v>
      </c>
      <c r="M63" s="4"/>
    </row>
    <row r="64" spans="3:23" ht="12" customHeight="1" hidden="1" thickBot="1">
      <c r="C64" s="96"/>
      <c r="D64" s="96"/>
      <c r="G64" s="6"/>
      <c r="I64" s="83">
        <v>0.1</v>
      </c>
      <c r="J64" s="54">
        <v>0</v>
      </c>
      <c r="K64" s="23">
        <f aca="true" t="shared" si="0" ref="K64:K74">J64*1.5</f>
        <v>0</v>
      </c>
      <c r="L64" s="285" t="s">
        <v>462</v>
      </c>
      <c r="M64" s="31">
        <v>0.4543</v>
      </c>
      <c r="N64" s="3" t="s">
        <v>494</v>
      </c>
      <c r="O64" s="3">
        <v>0.47</v>
      </c>
      <c r="P64" s="3" t="s">
        <v>498</v>
      </c>
      <c r="Q64" s="3">
        <v>0.47</v>
      </c>
      <c r="R64" s="3" t="s">
        <v>502</v>
      </c>
      <c r="S64" s="3">
        <v>0.495</v>
      </c>
      <c r="T64" s="3" t="s">
        <v>529</v>
      </c>
      <c r="U64" s="3">
        <v>0.59</v>
      </c>
      <c r="V64" s="3" t="s">
        <v>531</v>
      </c>
      <c r="W64" s="3">
        <v>0.63</v>
      </c>
    </row>
    <row r="65" spans="3:13" ht="12" customHeight="1" hidden="1" thickBot="1">
      <c r="C65" s="96" t="s">
        <v>21</v>
      </c>
      <c r="D65" s="96"/>
      <c r="F65" s="3" t="s">
        <v>59</v>
      </c>
      <c r="G65" s="14"/>
      <c r="I65" s="85">
        <v>0.15</v>
      </c>
      <c r="J65" s="55">
        <v>58</v>
      </c>
      <c r="K65" s="255">
        <f t="shared" si="0"/>
        <v>87</v>
      </c>
      <c r="M65" s="6"/>
    </row>
    <row r="66" spans="3:13" ht="12" customHeight="1" hidden="1" thickBot="1">
      <c r="C66" s="100" t="s">
        <v>24</v>
      </c>
      <c r="D66" s="101">
        <v>50</v>
      </c>
      <c r="F66" s="7" t="s">
        <v>47</v>
      </c>
      <c r="G66" s="15">
        <v>25</v>
      </c>
      <c r="H66" s="13"/>
      <c r="I66" s="85">
        <v>0.3</v>
      </c>
      <c r="J66" s="55">
        <v>58</v>
      </c>
      <c r="K66" s="255">
        <f t="shared" si="0"/>
        <v>87</v>
      </c>
      <c r="L66" s="3" t="s">
        <v>59</v>
      </c>
      <c r="M66" s="14"/>
    </row>
    <row r="67" spans="3:13" ht="12" customHeight="1" hidden="1" thickBot="1">
      <c r="C67" s="102" t="s">
        <v>7</v>
      </c>
      <c r="D67" s="103">
        <v>86.04</v>
      </c>
      <c r="F67" s="8" t="s">
        <v>478</v>
      </c>
      <c r="G67" s="16">
        <v>86.04</v>
      </c>
      <c r="H67" s="13"/>
      <c r="I67" s="85">
        <v>0.4</v>
      </c>
      <c r="J67" s="55">
        <v>58</v>
      </c>
      <c r="K67" s="255">
        <f t="shared" si="0"/>
        <v>87</v>
      </c>
      <c r="L67" s="286" t="s">
        <v>463</v>
      </c>
      <c r="M67" s="15">
        <v>0</v>
      </c>
    </row>
    <row r="68" spans="3:13" ht="12" customHeight="1" hidden="1" thickBot="1">
      <c r="C68" s="102" t="s">
        <v>41</v>
      </c>
      <c r="D68" s="104" t="s">
        <v>32</v>
      </c>
      <c r="F68" s="8" t="s">
        <v>42</v>
      </c>
      <c r="G68" s="32" t="s">
        <v>32</v>
      </c>
      <c r="H68" s="33"/>
      <c r="I68" s="85">
        <v>0.5</v>
      </c>
      <c r="J68" s="55">
        <v>68</v>
      </c>
      <c r="K68" s="255">
        <f t="shared" si="0"/>
        <v>102</v>
      </c>
      <c r="L68" s="35" t="s">
        <v>464</v>
      </c>
      <c r="M68" s="16">
        <v>0</v>
      </c>
    </row>
    <row r="69" spans="3:13" ht="12" customHeight="1" hidden="1" thickBot="1">
      <c r="C69" s="102" t="s">
        <v>8</v>
      </c>
      <c r="D69" s="103">
        <v>0.32</v>
      </c>
      <c r="F69" s="8" t="s">
        <v>48</v>
      </c>
      <c r="G69" s="16">
        <v>0.37</v>
      </c>
      <c r="H69" s="51" t="s">
        <v>64</v>
      </c>
      <c r="I69" s="85">
        <v>0.6</v>
      </c>
      <c r="J69" s="55">
        <v>74</v>
      </c>
      <c r="K69" s="255">
        <f t="shared" si="0"/>
        <v>111</v>
      </c>
      <c r="L69" s="35" t="s">
        <v>465</v>
      </c>
      <c r="M69" s="32" t="s">
        <v>469</v>
      </c>
    </row>
    <row r="70" spans="3:23" ht="12" customHeight="1" hidden="1" thickBot="1">
      <c r="C70" s="105" t="s">
        <v>25</v>
      </c>
      <c r="D70" s="106">
        <v>0.0411946</v>
      </c>
      <c r="F70" s="25" t="s">
        <v>470</v>
      </c>
      <c r="G70" s="30">
        <v>25</v>
      </c>
      <c r="H70" s="13"/>
      <c r="I70" s="85">
        <v>0.7</v>
      </c>
      <c r="J70" s="55">
        <v>74</v>
      </c>
      <c r="K70" s="255">
        <f t="shared" si="0"/>
        <v>111</v>
      </c>
      <c r="L70" s="35" t="s">
        <v>466</v>
      </c>
      <c r="M70" s="16">
        <v>0.55</v>
      </c>
      <c r="N70" s="35" t="s">
        <v>497</v>
      </c>
      <c r="O70" s="16">
        <v>0.57</v>
      </c>
      <c r="P70" s="35" t="s">
        <v>499</v>
      </c>
      <c r="Q70" s="16">
        <v>0.57</v>
      </c>
      <c r="R70" s="35" t="s">
        <v>503</v>
      </c>
      <c r="S70" s="16">
        <v>0.6</v>
      </c>
      <c r="T70" s="35" t="s">
        <v>530</v>
      </c>
      <c r="U70" s="3">
        <v>0.71</v>
      </c>
      <c r="V70" s="35" t="s">
        <v>532</v>
      </c>
      <c r="W70" s="3">
        <v>0.77</v>
      </c>
    </row>
    <row r="71" spans="3:13" ht="12" customHeight="1" hidden="1" thickBot="1">
      <c r="C71" s="107" t="s">
        <v>39</v>
      </c>
      <c r="D71" s="108">
        <v>700</v>
      </c>
      <c r="F71" s="9" t="s">
        <v>40</v>
      </c>
      <c r="G71" s="17">
        <v>850</v>
      </c>
      <c r="H71" s="13"/>
      <c r="I71" s="85">
        <v>0.8</v>
      </c>
      <c r="J71" s="55">
        <v>80</v>
      </c>
      <c r="K71" s="255">
        <f t="shared" si="0"/>
        <v>120</v>
      </c>
      <c r="L71" s="24" t="s">
        <v>471</v>
      </c>
      <c r="M71" s="30">
        <v>0</v>
      </c>
    </row>
    <row r="72" spans="3:23" ht="12" customHeight="1" hidden="1" thickBot="1">
      <c r="C72" s="93" t="s">
        <v>50</v>
      </c>
      <c r="D72" s="109">
        <v>850</v>
      </c>
      <c r="E72" s="3" t="s">
        <v>53</v>
      </c>
      <c r="F72" s="24" t="s">
        <v>51</v>
      </c>
      <c r="G72" s="26">
        <v>850</v>
      </c>
      <c r="H72" s="28" t="s">
        <v>52</v>
      </c>
      <c r="I72" s="85">
        <v>1</v>
      </c>
      <c r="J72" s="55">
        <v>80</v>
      </c>
      <c r="K72" s="255">
        <f t="shared" si="0"/>
        <v>120</v>
      </c>
      <c r="L72" s="287" t="s">
        <v>467</v>
      </c>
      <c r="M72" s="17">
        <f>IF(puntosproljor&lt;620,M73,salminjorcom)</f>
        <v>1040</v>
      </c>
      <c r="T72" s="287" t="s">
        <v>533</v>
      </c>
      <c r="U72" s="17">
        <f>IF(puntosproljor&lt;620,U73,U74)</f>
        <v>1290</v>
      </c>
      <c r="V72" s="287" t="s">
        <v>534</v>
      </c>
      <c r="W72" s="17">
        <f>IF(puntosproljor&lt;620,W73,W74)</f>
        <v>1290</v>
      </c>
    </row>
    <row r="73" spans="3:23" ht="12" customHeight="1" hidden="1" thickBot="1">
      <c r="C73" s="96"/>
      <c r="D73" s="96"/>
      <c r="G73" s="6"/>
      <c r="H73" s="13"/>
      <c r="I73" s="85">
        <v>1.1</v>
      </c>
      <c r="J73" s="55">
        <v>84</v>
      </c>
      <c r="K73" s="255">
        <f t="shared" si="0"/>
        <v>126</v>
      </c>
      <c r="L73" s="24" t="s">
        <v>481</v>
      </c>
      <c r="M73" s="27">
        <v>1040</v>
      </c>
      <c r="T73" s="24" t="s">
        <v>481</v>
      </c>
      <c r="U73" s="27">
        <v>1290</v>
      </c>
      <c r="V73" s="24" t="s">
        <v>481</v>
      </c>
      <c r="W73" s="27">
        <v>1290</v>
      </c>
    </row>
    <row r="74" spans="3:23" ht="12" customHeight="1" hidden="1" thickBot="1">
      <c r="C74" s="96" t="s">
        <v>22</v>
      </c>
      <c r="D74" s="96"/>
      <c r="F74" s="3" t="s">
        <v>61</v>
      </c>
      <c r="G74" s="6"/>
      <c r="H74" s="13"/>
      <c r="I74" s="86">
        <v>1.2</v>
      </c>
      <c r="J74" s="56">
        <v>84</v>
      </c>
      <c r="K74" s="255">
        <f t="shared" si="0"/>
        <v>126</v>
      </c>
      <c r="L74" s="24" t="s">
        <v>468</v>
      </c>
      <c r="M74" s="26">
        <v>1320</v>
      </c>
      <c r="T74" s="24" t="s">
        <v>468</v>
      </c>
      <c r="U74" s="26">
        <v>1590</v>
      </c>
      <c r="V74" s="24" t="s">
        <v>468</v>
      </c>
      <c r="W74" s="26">
        <v>1590</v>
      </c>
    </row>
    <row r="75" spans="3:13" ht="12" customHeight="1" hidden="1">
      <c r="C75" s="100" t="s">
        <v>13</v>
      </c>
      <c r="D75" s="101">
        <v>3.528</v>
      </c>
      <c r="F75" s="7" t="s">
        <v>46</v>
      </c>
      <c r="G75" s="15">
        <v>3.528</v>
      </c>
      <c r="H75" s="13"/>
      <c r="M75" s="6"/>
    </row>
    <row r="76" spans="3:13" ht="12" customHeight="1" hidden="1" thickBot="1">
      <c r="C76" s="110" t="s">
        <v>14</v>
      </c>
      <c r="D76" s="103">
        <v>2.6666</v>
      </c>
      <c r="F76" s="10" t="s">
        <v>479</v>
      </c>
      <c r="G76" s="30">
        <v>1.0416</v>
      </c>
      <c r="H76" s="13"/>
      <c r="I76" s="52"/>
      <c r="L76" s="3" t="s">
        <v>482</v>
      </c>
      <c r="M76" s="6"/>
    </row>
    <row r="77" spans="3:13" ht="12" customHeight="1" hidden="1" thickBot="1">
      <c r="C77" s="110" t="s">
        <v>37</v>
      </c>
      <c r="D77" s="103">
        <v>1.8</v>
      </c>
      <c r="F77" s="10" t="s">
        <v>49</v>
      </c>
      <c r="G77" s="30">
        <v>2.7</v>
      </c>
      <c r="H77" s="13" t="s">
        <v>31</v>
      </c>
      <c r="I77" s="19"/>
      <c r="J77" s="20"/>
      <c r="K77" s="13"/>
      <c r="L77" s="7" t="s">
        <v>474</v>
      </c>
      <c r="M77" s="15">
        <v>0</v>
      </c>
    </row>
    <row r="78" spans="3:13" ht="16.5" customHeight="1" hidden="1" thickBot="1">
      <c r="C78" s="111" t="s">
        <v>15</v>
      </c>
      <c r="D78" s="112">
        <v>2.083333</v>
      </c>
      <c r="F78" s="11" t="s">
        <v>45</v>
      </c>
      <c r="G78" s="18">
        <v>1.0416</v>
      </c>
      <c r="H78" s="13"/>
      <c r="I78" s="122" t="s">
        <v>429</v>
      </c>
      <c r="J78" s="269"/>
      <c r="K78" s="84">
        <v>0</v>
      </c>
      <c r="L78" s="10" t="s">
        <v>472</v>
      </c>
      <c r="M78" s="30">
        <v>0</v>
      </c>
    </row>
    <row r="79" spans="3:19" ht="17.25" customHeight="1" hidden="1" thickBot="1">
      <c r="C79" s="96"/>
      <c r="D79" s="96"/>
      <c r="G79" s="6"/>
      <c r="H79" s="13"/>
      <c r="I79" s="124" t="s">
        <v>430</v>
      </c>
      <c r="J79" s="123" t="s">
        <v>431</v>
      </c>
      <c r="K79" s="83">
        <v>0.1</v>
      </c>
      <c r="L79" s="10" t="s">
        <v>483</v>
      </c>
      <c r="M79" s="30">
        <v>8.1</v>
      </c>
      <c r="N79" s="10" t="s">
        <v>495</v>
      </c>
      <c r="O79" s="3">
        <v>9.4</v>
      </c>
      <c r="P79" s="10" t="s">
        <v>500</v>
      </c>
      <c r="Q79" s="3">
        <v>9.4</v>
      </c>
      <c r="R79" s="10" t="s">
        <v>504</v>
      </c>
      <c r="S79" s="3">
        <v>9.4</v>
      </c>
    </row>
    <row r="80" spans="3:13" ht="14.25" customHeight="1" hidden="1" thickBot="1">
      <c r="C80" s="96" t="s">
        <v>23</v>
      </c>
      <c r="D80" s="96"/>
      <c r="F80" s="3" t="s">
        <v>62</v>
      </c>
      <c r="G80" s="6"/>
      <c r="H80" s="13"/>
      <c r="I80" s="118">
        <v>0</v>
      </c>
      <c r="J80" s="116">
        <v>0</v>
      </c>
      <c r="K80" s="85">
        <v>0.15</v>
      </c>
      <c r="L80" s="11" t="s">
        <v>484</v>
      </c>
      <c r="M80" s="18">
        <v>0</v>
      </c>
    </row>
    <row r="81" spans="3:13" ht="17.25" customHeight="1" hidden="1">
      <c r="C81" s="100" t="s">
        <v>17</v>
      </c>
      <c r="D81" s="101">
        <v>2.51</v>
      </c>
      <c r="F81" s="7" t="s">
        <v>44</v>
      </c>
      <c r="G81" s="15">
        <v>2.51</v>
      </c>
      <c r="H81" s="13"/>
      <c r="I81" s="119">
        <v>1</v>
      </c>
      <c r="J81" s="117">
        <v>0.1</v>
      </c>
      <c r="K81" s="85">
        <v>0.3</v>
      </c>
      <c r="M81" s="6"/>
    </row>
    <row r="82" spans="3:13" ht="15.75" customHeight="1" hidden="1" thickBot="1">
      <c r="C82" s="110" t="s">
        <v>18</v>
      </c>
      <c r="D82" s="103">
        <v>3.58</v>
      </c>
      <c r="F82" s="10" t="s">
        <v>480</v>
      </c>
      <c r="G82" s="30">
        <v>1.0416</v>
      </c>
      <c r="H82" s="13"/>
      <c r="I82" s="119">
        <v>2</v>
      </c>
      <c r="J82" s="117">
        <v>0.15</v>
      </c>
      <c r="K82" s="85">
        <v>0.4</v>
      </c>
      <c r="L82" s="3" t="s">
        <v>62</v>
      </c>
      <c r="M82" s="6"/>
    </row>
    <row r="83" spans="3:13" ht="15.75" customHeight="1" hidden="1">
      <c r="C83" s="110" t="s">
        <v>38</v>
      </c>
      <c r="D83" s="103">
        <v>1.8</v>
      </c>
      <c r="F83" s="10" t="s">
        <v>56</v>
      </c>
      <c r="G83" s="30">
        <v>2.7</v>
      </c>
      <c r="H83" s="13" t="s">
        <v>31</v>
      </c>
      <c r="I83" s="119">
        <v>5</v>
      </c>
      <c r="J83" s="117">
        <v>0.3</v>
      </c>
      <c r="K83" s="85">
        <v>0.5</v>
      </c>
      <c r="L83" s="7" t="s">
        <v>473</v>
      </c>
      <c r="M83" s="15">
        <v>0</v>
      </c>
    </row>
    <row r="84" spans="3:13" ht="15" customHeight="1" hidden="1" thickBot="1">
      <c r="C84" s="111" t="s">
        <v>19</v>
      </c>
      <c r="D84" s="112">
        <v>2.08333</v>
      </c>
      <c r="F84" s="11" t="s">
        <v>43</v>
      </c>
      <c r="G84" s="18">
        <v>1.0416</v>
      </c>
      <c r="H84" s="13"/>
      <c r="I84" s="119">
        <v>7</v>
      </c>
      <c r="J84" s="117">
        <v>0.4</v>
      </c>
      <c r="K84" s="85">
        <v>0.6</v>
      </c>
      <c r="L84" s="10" t="s">
        <v>475</v>
      </c>
      <c r="M84" s="30">
        <v>0</v>
      </c>
    </row>
    <row r="85" spans="9:19" ht="15.75" customHeight="1" hidden="1">
      <c r="I85" s="119">
        <v>10</v>
      </c>
      <c r="J85" s="117">
        <v>0.5</v>
      </c>
      <c r="K85" s="85">
        <v>0.7</v>
      </c>
      <c r="L85" s="10" t="s">
        <v>476</v>
      </c>
      <c r="M85" s="30">
        <v>8.1</v>
      </c>
      <c r="N85" s="10" t="s">
        <v>496</v>
      </c>
      <c r="O85" s="3">
        <v>9.4</v>
      </c>
      <c r="P85" s="10" t="s">
        <v>501</v>
      </c>
      <c r="Q85" s="3">
        <v>9.4</v>
      </c>
      <c r="R85" s="10" t="s">
        <v>505</v>
      </c>
      <c r="S85" s="3">
        <v>9.4</v>
      </c>
    </row>
    <row r="86" spans="6:13" ht="15" customHeight="1" hidden="1" thickBot="1">
      <c r="F86" s="128" t="s">
        <v>440</v>
      </c>
      <c r="G86" s="240">
        <v>0</v>
      </c>
      <c r="I86" s="119">
        <v>12</v>
      </c>
      <c r="J86" s="117">
        <v>0.6</v>
      </c>
      <c r="K86" s="85">
        <v>0.8</v>
      </c>
      <c r="L86" s="11" t="s">
        <v>477</v>
      </c>
      <c r="M86" s="18">
        <v>0</v>
      </c>
    </row>
    <row r="87" spans="1:11" ht="13.5" customHeight="1" hidden="1" thickBot="1">
      <c r="A87" s="21"/>
      <c r="B87" s="21"/>
      <c r="C87" s="21"/>
      <c r="D87" s="151"/>
      <c r="F87" s="128" t="s">
        <v>457</v>
      </c>
      <c r="G87" s="240">
        <v>0.5</v>
      </c>
      <c r="H87" s="148"/>
      <c r="I87" s="119">
        <v>15</v>
      </c>
      <c r="J87" s="117">
        <v>0.7</v>
      </c>
      <c r="K87" s="85">
        <v>1</v>
      </c>
    </row>
    <row r="88" spans="4:12" ht="14.25" customHeight="1" hidden="1" thickBot="1">
      <c r="D88" s="152"/>
      <c r="E88" s="153"/>
      <c r="F88" s="250"/>
      <c r="G88" s="154"/>
      <c r="H88" s="155"/>
      <c r="I88" s="119">
        <v>17</v>
      </c>
      <c r="J88" s="117">
        <v>0.8</v>
      </c>
      <c r="K88" s="85">
        <v>1.1</v>
      </c>
      <c r="L88" s="240"/>
    </row>
    <row r="89" spans="5:12" ht="15" customHeight="1" hidden="1" thickBot="1">
      <c r="E89" s="156"/>
      <c r="F89" s="157"/>
      <c r="I89" s="119">
        <v>20</v>
      </c>
      <c r="J89" s="117">
        <v>1</v>
      </c>
      <c r="K89" s="86">
        <v>1.2</v>
      </c>
      <c r="L89" s="240"/>
    </row>
    <row r="90" spans="1:24" s="21" customFormat="1" ht="12" customHeight="1" hidden="1" thickBot="1">
      <c r="A90" s="3"/>
      <c r="B90" s="3"/>
      <c r="C90" s="3"/>
      <c r="D90" s="3"/>
      <c r="E90" s="156"/>
      <c r="F90" s="157"/>
      <c r="G90" s="3"/>
      <c r="H90" s="3"/>
      <c r="I90" s="119">
        <v>22</v>
      </c>
      <c r="J90" s="117">
        <v>1.1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7" ht="21" customHeight="1" hidden="1" thickBot="1" thickTop="1">
      <c r="A91" s="20"/>
      <c r="B91" s="20"/>
      <c r="C91" s="20"/>
      <c r="D91" s="20"/>
      <c r="E91" s="20"/>
      <c r="F91" s="19"/>
      <c r="I91" s="120">
        <v>24</v>
      </c>
      <c r="J91" s="121">
        <v>1.2</v>
      </c>
      <c r="L91" s="349" t="s">
        <v>525</v>
      </c>
      <c r="M91" s="3" t="s">
        <v>520</v>
      </c>
      <c r="N91" s="3" t="s">
        <v>521</v>
      </c>
      <c r="O91" s="270" t="s">
        <v>486</v>
      </c>
      <c r="P91" s="270" t="s">
        <v>487</v>
      </c>
      <c r="Q91" s="270" t="s">
        <v>489</v>
      </c>
      <c r="R91" s="270" t="s">
        <v>488</v>
      </c>
      <c r="S91" s="270" t="s">
        <v>522</v>
      </c>
      <c r="T91" s="270" t="s">
        <v>523</v>
      </c>
      <c r="U91" s="281" t="s">
        <v>524</v>
      </c>
      <c r="V91" s="281">
        <v>1</v>
      </c>
      <c r="W91" s="281">
        <v>2</v>
      </c>
      <c r="X91" s="281">
        <v>3</v>
      </c>
      <c r="Y91" s="281">
        <v>4</v>
      </c>
      <c r="Z91" s="281">
        <v>5</v>
      </c>
      <c r="AA91" s="21"/>
    </row>
    <row r="92" spans="1:28" ht="17.25" customHeight="1" hidden="1" thickBot="1">
      <c r="A92" s="20"/>
      <c r="B92" s="20"/>
      <c r="C92" s="20"/>
      <c r="D92" s="20"/>
      <c r="E92" s="20"/>
      <c r="F92" s="19"/>
      <c r="I92" s="316"/>
      <c r="J92" s="317"/>
      <c r="K92" s="345">
        <v>0</v>
      </c>
      <c r="L92" s="350">
        <f aca="true" t="shared" si="1" ref="L92:L104">IF(puntosproljor&lt;620,Z92,U92)</f>
        <v>80</v>
      </c>
      <c r="M92" s="273">
        <v>80</v>
      </c>
      <c r="N92" s="339">
        <v>80</v>
      </c>
      <c r="O92" s="277">
        <v>0</v>
      </c>
      <c r="P92" s="279">
        <v>0</v>
      </c>
      <c r="Q92" s="282">
        <v>0</v>
      </c>
      <c r="R92" s="343">
        <v>0</v>
      </c>
      <c r="S92" s="341">
        <v>80</v>
      </c>
      <c r="T92" s="342">
        <v>80</v>
      </c>
      <c r="U92" s="288">
        <f aca="true" t="shared" si="2" ref="U92:U104">IF(PUNTOSbasicos&gt;971,T92,S92)</f>
        <v>80</v>
      </c>
      <c r="V92" s="288">
        <f aca="true" t="shared" si="3" ref="V92:V104">IF(PUNTOSbasicos&lt;972,M92,N92)</f>
        <v>80</v>
      </c>
      <c r="W92" s="288">
        <f aca="true" t="shared" si="4" ref="W92:W104">IF(PUNTOSbasicos&lt;1170,V92,O92)</f>
        <v>80</v>
      </c>
      <c r="X92" s="288">
        <f aca="true" t="shared" si="5" ref="X92:X104">IF(PUNTOSbasicos&lt;1401,W92,P92)</f>
        <v>80</v>
      </c>
      <c r="Y92" s="288">
        <f aca="true" t="shared" si="6" ref="Y92:Y104">IF(PUNTOSbasicos&lt;1943,X92,Q92)</f>
        <v>80</v>
      </c>
      <c r="Z92" s="288">
        <f aca="true" t="shared" si="7" ref="Z92:Z104">IF(PUNTOSbasicos&lt;=2220,Y92,R92)</f>
        <v>80</v>
      </c>
      <c r="AA92" s="21"/>
      <c r="AB92" s="21"/>
    </row>
    <row r="93" spans="1:28" ht="15" customHeight="1" hidden="1" thickBot="1">
      <c r="A93" s="20"/>
      <c r="B93" s="20"/>
      <c r="C93" s="20"/>
      <c r="D93" s="20">
        <v>0</v>
      </c>
      <c r="E93" s="378">
        <v>0</v>
      </c>
      <c r="F93" s="19"/>
      <c r="I93" s="316"/>
      <c r="J93" s="317"/>
      <c r="K93" s="346">
        <v>0.1</v>
      </c>
      <c r="L93" s="350">
        <f t="shared" si="1"/>
        <v>90</v>
      </c>
      <c r="M93" s="273">
        <v>90</v>
      </c>
      <c r="N93" s="340">
        <v>90</v>
      </c>
      <c r="O93" s="277">
        <v>0</v>
      </c>
      <c r="P93" s="279">
        <v>0</v>
      </c>
      <c r="Q93" s="282">
        <v>0</v>
      </c>
      <c r="R93" s="343">
        <v>0</v>
      </c>
      <c r="S93" s="341">
        <v>90</v>
      </c>
      <c r="T93" s="342">
        <v>90</v>
      </c>
      <c r="U93" s="288">
        <f t="shared" si="2"/>
        <v>90</v>
      </c>
      <c r="V93" s="288">
        <f t="shared" si="3"/>
        <v>90</v>
      </c>
      <c r="W93" s="288">
        <f t="shared" si="4"/>
        <v>90</v>
      </c>
      <c r="X93" s="288">
        <f t="shared" si="5"/>
        <v>90</v>
      </c>
      <c r="Y93" s="288">
        <f t="shared" si="6"/>
        <v>90</v>
      </c>
      <c r="Z93" s="288">
        <f t="shared" si="7"/>
        <v>90</v>
      </c>
      <c r="AA93" s="21"/>
      <c r="AB93" s="21"/>
    </row>
    <row r="94" spans="1:28" ht="15" customHeight="1" hidden="1" thickBot="1">
      <c r="A94" s="20"/>
      <c r="B94" s="20"/>
      <c r="C94" s="20"/>
      <c r="D94" s="20">
        <v>1</v>
      </c>
      <c r="E94" s="378">
        <v>0.25</v>
      </c>
      <c r="F94" s="19"/>
      <c r="I94" s="316"/>
      <c r="J94" s="317"/>
      <c r="K94" s="346"/>
      <c r="L94" s="350"/>
      <c r="M94" s="273"/>
      <c r="N94" s="340"/>
      <c r="O94" s="277"/>
      <c r="P94" s="279"/>
      <c r="Q94" s="282"/>
      <c r="R94" s="343"/>
      <c r="S94" s="341"/>
      <c r="T94" s="342"/>
      <c r="U94" s="288"/>
      <c r="V94" s="288"/>
      <c r="W94" s="288"/>
      <c r="X94" s="288"/>
      <c r="Y94" s="288"/>
      <c r="Z94" s="288"/>
      <c r="AA94" s="21"/>
      <c r="AB94" s="21"/>
    </row>
    <row r="95" spans="1:28" ht="18.75" customHeight="1" hidden="1" thickBot="1">
      <c r="A95" s="20"/>
      <c r="B95" s="20"/>
      <c r="C95" s="20"/>
      <c r="D95" s="20">
        <v>2</v>
      </c>
      <c r="E95" s="378">
        <v>0.5</v>
      </c>
      <c r="F95" s="19"/>
      <c r="I95" s="316"/>
      <c r="J95" s="317"/>
      <c r="K95" s="347">
        <v>0.15</v>
      </c>
      <c r="L95" s="350">
        <f t="shared" si="1"/>
        <v>180</v>
      </c>
      <c r="M95" s="273">
        <v>180</v>
      </c>
      <c r="N95" s="340">
        <v>180</v>
      </c>
      <c r="O95" s="278">
        <v>240</v>
      </c>
      <c r="P95" s="280">
        <v>193</v>
      </c>
      <c r="Q95" s="283">
        <v>180</v>
      </c>
      <c r="R95" s="343">
        <v>0</v>
      </c>
      <c r="S95" s="341">
        <v>220</v>
      </c>
      <c r="T95" s="342">
        <v>220</v>
      </c>
      <c r="U95" s="288">
        <f t="shared" si="2"/>
        <v>220</v>
      </c>
      <c r="V95" s="288">
        <f t="shared" si="3"/>
        <v>180</v>
      </c>
      <c r="W95" s="288">
        <f t="shared" si="4"/>
        <v>180</v>
      </c>
      <c r="X95" s="288">
        <f t="shared" si="5"/>
        <v>180</v>
      </c>
      <c r="Y95" s="288">
        <f t="shared" si="6"/>
        <v>180</v>
      </c>
      <c r="Z95" s="288">
        <f t="shared" si="7"/>
        <v>180</v>
      </c>
      <c r="AA95" s="21"/>
      <c r="AB95" s="21"/>
    </row>
    <row r="96" spans="1:28" ht="15" customHeight="1" hidden="1" thickBot="1">
      <c r="A96" s="20"/>
      <c r="B96" s="20"/>
      <c r="C96" s="20"/>
      <c r="D96" s="20">
        <v>3</v>
      </c>
      <c r="E96" s="378">
        <v>0.75</v>
      </c>
      <c r="F96" s="19"/>
      <c r="I96" s="316"/>
      <c r="J96" s="317"/>
      <c r="K96" s="347">
        <v>0.3</v>
      </c>
      <c r="L96" s="350">
        <f t="shared" si="1"/>
        <v>225</v>
      </c>
      <c r="M96" s="273">
        <v>225</v>
      </c>
      <c r="N96" s="340">
        <v>195</v>
      </c>
      <c r="O96" s="278">
        <v>240</v>
      </c>
      <c r="P96" s="280">
        <v>193</v>
      </c>
      <c r="Q96" s="283">
        <v>180</v>
      </c>
      <c r="R96" s="343">
        <v>0</v>
      </c>
      <c r="S96" s="341">
        <v>380</v>
      </c>
      <c r="T96" s="342">
        <v>350</v>
      </c>
      <c r="U96" s="288">
        <f t="shared" si="2"/>
        <v>380</v>
      </c>
      <c r="V96" s="288">
        <f t="shared" si="3"/>
        <v>225</v>
      </c>
      <c r="W96" s="288">
        <f t="shared" si="4"/>
        <v>225</v>
      </c>
      <c r="X96" s="288">
        <f t="shared" si="5"/>
        <v>225</v>
      </c>
      <c r="Y96" s="288">
        <f t="shared" si="6"/>
        <v>225</v>
      </c>
      <c r="Z96" s="288">
        <f t="shared" si="7"/>
        <v>225</v>
      </c>
      <c r="AA96" s="21"/>
      <c r="AB96" s="21"/>
    </row>
    <row r="97" spans="1:28" ht="20.25" customHeight="1" hidden="1" thickBot="1">
      <c r="A97" s="20"/>
      <c r="B97" s="20"/>
      <c r="C97" s="20"/>
      <c r="D97" s="20">
        <v>4</v>
      </c>
      <c r="E97" s="378">
        <v>1</v>
      </c>
      <c r="F97" s="19"/>
      <c r="I97" s="316"/>
      <c r="J97" s="317"/>
      <c r="K97" s="347">
        <v>0.4</v>
      </c>
      <c r="L97" s="350">
        <f t="shared" si="1"/>
        <v>250</v>
      </c>
      <c r="M97" s="273">
        <v>250</v>
      </c>
      <c r="N97" s="340">
        <v>210</v>
      </c>
      <c r="O97" s="278">
        <v>250</v>
      </c>
      <c r="P97" s="280">
        <v>200</v>
      </c>
      <c r="Q97" s="283">
        <v>180</v>
      </c>
      <c r="R97" s="343">
        <v>140</v>
      </c>
      <c r="S97" s="341">
        <v>440</v>
      </c>
      <c r="T97" s="342">
        <v>400</v>
      </c>
      <c r="U97" s="288">
        <f t="shared" si="2"/>
        <v>440</v>
      </c>
      <c r="V97" s="288">
        <f t="shared" si="3"/>
        <v>250</v>
      </c>
      <c r="W97" s="288">
        <f t="shared" si="4"/>
        <v>250</v>
      </c>
      <c r="X97" s="288">
        <f t="shared" si="5"/>
        <v>250</v>
      </c>
      <c r="Y97" s="288">
        <f t="shared" si="6"/>
        <v>250</v>
      </c>
      <c r="Z97" s="288">
        <f t="shared" si="7"/>
        <v>250</v>
      </c>
      <c r="AA97" s="21"/>
      <c r="AB97" s="21"/>
    </row>
    <row r="98" spans="1:28" ht="21" customHeight="1" hidden="1" thickBot="1">
      <c r="A98" s="20"/>
      <c r="B98" s="20"/>
      <c r="C98" s="20"/>
      <c r="D98" s="20"/>
      <c r="E98" s="20"/>
      <c r="F98" s="19"/>
      <c r="I98" s="316"/>
      <c r="J98" s="317"/>
      <c r="K98" s="347">
        <v>0.5</v>
      </c>
      <c r="L98" s="350">
        <f t="shared" si="1"/>
        <v>270</v>
      </c>
      <c r="M98" s="273">
        <v>270</v>
      </c>
      <c r="N98" s="340">
        <v>230</v>
      </c>
      <c r="O98" s="278">
        <v>250</v>
      </c>
      <c r="P98" s="272">
        <v>200</v>
      </c>
      <c r="Q98" s="283">
        <v>180</v>
      </c>
      <c r="R98" s="343">
        <v>140</v>
      </c>
      <c r="S98" s="341">
        <v>475</v>
      </c>
      <c r="T98" s="342">
        <v>435</v>
      </c>
      <c r="U98" s="288">
        <f t="shared" si="2"/>
        <v>475</v>
      </c>
      <c r="V98" s="288">
        <f t="shared" si="3"/>
        <v>270</v>
      </c>
      <c r="W98" s="288">
        <f t="shared" si="4"/>
        <v>270</v>
      </c>
      <c r="X98" s="288">
        <f t="shared" si="5"/>
        <v>270</v>
      </c>
      <c r="Y98" s="288">
        <f t="shared" si="6"/>
        <v>270</v>
      </c>
      <c r="Z98" s="288">
        <f t="shared" si="7"/>
        <v>270</v>
      </c>
      <c r="AA98" s="21"/>
      <c r="AB98" s="21"/>
    </row>
    <row r="99" spans="1:28" ht="18.75" customHeight="1" hidden="1" thickBot="1">
      <c r="A99" s="20"/>
      <c r="B99" s="20"/>
      <c r="C99" s="20"/>
      <c r="D99" s="20"/>
      <c r="E99" s="20"/>
      <c r="F99" s="19"/>
      <c r="I99" s="316"/>
      <c r="J99" s="317"/>
      <c r="K99" s="347">
        <v>0.6</v>
      </c>
      <c r="L99" s="350">
        <f t="shared" si="1"/>
        <v>320</v>
      </c>
      <c r="M99" s="273">
        <v>320</v>
      </c>
      <c r="N99" s="340">
        <v>260</v>
      </c>
      <c r="O99" s="278">
        <v>260</v>
      </c>
      <c r="P99" s="272">
        <v>203</v>
      </c>
      <c r="Q99" s="283">
        <v>190</v>
      </c>
      <c r="R99" s="343">
        <v>160</v>
      </c>
      <c r="S99" s="341">
        <v>510</v>
      </c>
      <c r="T99" s="342">
        <v>450</v>
      </c>
      <c r="U99" s="288">
        <f t="shared" si="2"/>
        <v>510</v>
      </c>
      <c r="V99" s="288">
        <f t="shared" si="3"/>
        <v>320</v>
      </c>
      <c r="W99" s="288">
        <f t="shared" si="4"/>
        <v>320</v>
      </c>
      <c r="X99" s="288">
        <f t="shared" si="5"/>
        <v>320</v>
      </c>
      <c r="Y99" s="288">
        <f t="shared" si="6"/>
        <v>320</v>
      </c>
      <c r="Z99" s="288">
        <f t="shared" si="7"/>
        <v>320</v>
      </c>
      <c r="AA99" s="21"/>
      <c r="AB99" s="21"/>
    </row>
    <row r="100" spans="1:28" ht="15" customHeight="1" hidden="1" thickBot="1">
      <c r="A100" s="20"/>
      <c r="B100" s="20"/>
      <c r="C100" s="20"/>
      <c r="D100" s="20"/>
      <c r="E100" s="20"/>
      <c r="F100" s="19"/>
      <c r="I100" s="316"/>
      <c r="J100" s="317"/>
      <c r="K100" s="347">
        <v>0.7</v>
      </c>
      <c r="L100" s="350">
        <f t="shared" si="1"/>
        <v>345</v>
      </c>
      <c r="M100" s="273">
        <v>345</v>
      </c>
      <c r="N100" s="340">
        <v>285</v>
      </c>
      <c r="O100" s="278">
        <v>365</v>
      </c>
      <c r="P100" s="272">
        <v>230</v>
      </c>
      <c r="Q100" s="283">
        <v>190</v>
      </c>
      <c r="R100" s="343">
        <v>160</v>
      </c>
      <c r="S100" s="341">
        <v>525</v>
      </c>
      <c r="T100" s="342">
        <v>465</v>
      </c>
      <c r="U100" s="288">
        <f t="shared" si="2"/>
        <v>525</v>
      </c>
      <c r="V100" s="288">
        <f t="shared" si="3"/>
        <v>345</v>
      </c>
      <c r="W100" s="288">
        <f t="shared" si="4"/>
        <v>345</v>
      </c>
      <c r="X100" s="288">
        <f t="shared" si="5"/>
        <v>345</v>
      </c>
      <c r="Y100" s="288">
        <f t="shared" si="6"/>
        <v>345</v>
      </c>
      <c r="Z100" s="288">
        <f t="shared" si="7"/>
        <v>345</v>
      </c>
      <c r="AA100" s="21"/>
      <c r="AB100" s="21"/>
    </row>
    <row r="101" spans="1:28" ht="18.75" customHeight="1" hidden="1" thickBot="1">
      <c r="A101" s="20"/>
      <c r="B101" s="20"/>
      <c r="C101" s="20"/>
      <c r="D101" s="20"/>
      <c r="E101" s="20"/>
      <c r="F101" s="19"/>
      <c r="I101" s="316"/>
      <c r="J101" s="317"/>
      <c r="K101" s="347">
        <v>0.8</v>
      </c>
      <c r="L101" s="350">
        <f t="shared" si="1"/>
        <v>425</v>
      </c>
      <c r="M101" s="273">
        <v>425</v>
      </c>
      <c r="N101" s="340">
        <v>345</v>
      </c>
      <c r="O101" s="271">
        <v>395</v>
      </c>
      <c r="P101" s="272">
        <v>340</v>
      </c>
      <c r="Q101" s="284">
        <v>280</v>
      </c>
      <c r="R101" s="344">
        <v>180</v>
      </c>
      <c r="S101" s="341">
        <v>555</v>
      </c>
      <c r="T101" s="342">
        <v>475</v>
      </c>
      <c r="U101" s="288">
        <f t="shared" si="2"/>
        <v>555</v>
      </c>
      <c r="V101" s="288">
        <f t="shared" si="3"/>
        <v>425</v>
      </c>
      <c r="W101" s="288">
        <f t="shared" si="4"/>
        <v>425</v>
      </c>
      <c r="X101" s="288">
        <f t="shared" si="5"/>
        <v>425</v>
      </c>
      <c r="Y101" s="288">
        <f t="shared" si="6"/>
        <v>425</v>
      </c>
      <c r="Z101" s="288">
        <f t="shared" si="7"/>
        <v>425</v>
      </c>
      <c r="AA101" s="21"/>
      <c r="AB101" s="21"/>
    </row>
    <row r="102" spans="1:28" ht="15.75" customHeight="1" hidden="1" thickBot="1">
      <c r="A102" s="20"/>
      <c r="B102" s="20"/>
      <c r="C102" s="20"/>
      <c r="D102" s="20"/>
      <c r="E102" s="20"/>
      <c r="F102" s="19"/>
      <c r="I102" s="316"/>
      <c r="J102" s="317"/>
      <c r="K102" s="347">
        <v>1</v>
      </c>
      <c r="L102" s="350">
        <f t="shared" si="1"/>
        <v>535</v>
      </c>
      <c r="M102" s="273">
        <v>535</v>
      </c>
      <c r="N102" s="340">
        <v>435</v>
      </c>
      <c r="O102" s="271">
        <v>410</v>
      </c>
      <c r="P102" s="272">
        <v>330</v>
      </c>
      <c r="Q102" s="284">
        <v>310</v>
      </c>
      <c r="R102" s="344">
        <v>180</v>
      </c>
      <c r="S102" s="341">
        <v>590</v>
      </c>
      <c r="T102" s="342">
        <v>490</v>
      </c>
      <c r="U102" s="288">
        <f t="shared" si="2"/>
        <v>590</v>
      </c>
      <c r="V102" s="288">
        <f t="shared" si="3"/>
        <v>535</v>
      </c>
      <c r="W102" s="288">
        <f t="shared" si="4"/>
        <v>535</v>
      </c>
      <c r="X102" s="288">
        <f t="shared" si="5"/>
        <v>535</v>
      </c>
      <c r="Y102" s="288">
        <f t="shared" si="6"/>
        <v>535</v>
      </c>
      <c r="Z102" s="288">
        <f t="shared" si="7"/>
        <v>535</v>
      </c>
      <c r="AA102" s="21"/>
      <c r="AB102" s="21"/>
    </row>
    <row r="103" spans="1:28" ht="15.75" customHeight="1" hidden="1" thickBot="1">
      <c r="A103" s="20"/>
      <c r="B103" s="20"/>
      <c r="C103" s="20"/>
      <c r="D103" s="20"/>
      <c r="E103" s="20"/>
      <c r="F103" s="19"/>
      <c r="I103" s="316"/>
      <c r="J103" s="317"/>
      <c r="K103" s="347">
        <v>1.1</v>
      </c>
      <c r="L103" s="350">
        <f t="shared" si="1"/>
        <v>605</v>
      </c>
      <c r="M103" s="273">
        <v>605</v>
      </c>
      <c r="N103" s="340">
        <v>495</v>
      </c>
      <c r="O103" s="271">
        <v>430</v>
      </c>
      <c r="P103" s="272">
        <v>330</v>
      </c>
      <c r="Q103" s="284">
        <v>320</v>
      </c>
      <c r="R103" s="344">
        <v>190</v>
      </c>
      <c r="S103" s="341">
        <v>615</v>
      </c>
      <c r="T103" s="342">
        <v>505</v>
      </c>
      <c r="U103" s="288">
        <f t="shared" si="2"/>
        <v>615</v>
      </c>
      <c r="V103" s="288">
        <f t="shared" si="3"/>
        <v>605</v>
      </c>
      <c r="W103" s="288">
        <f t="shared" si="4"/>
        <v>605</v>
      </c>
      <c r="X103" s="288">
        <f t="shared" si="5"/>
        <v>605</v>
      </c>
      <c r="Y103" s="288">
        <f t="shared" si="6"/>
        <v>605</v>
      </c>
      <c r="Z103" s="288">
        <f t="shared" si="7"/>
        <v>605</v>
      </c>
      <c r="AA103" s="21"/>
      <c r="AB103" s="21"/>
    </row>
    <row r="104" spans="1:28" ht="17.25" customHeight="1" hidden="1" thickBot="1">
      <c r="A104" s="20"/>
      <c r="B104" s="20"/>
      <c r="C104" s="20"/>
      <c r="D104" s="20"/>
      <c r="E104" s="20"/>
      <c r="F104" s="19"/>
      <c r="I104" s="316"/>
      <c r="J104" s="317"/>
      <c r="K104" s="348">
        <v>1.2</v>
      </c>
      <c r="L104" s="351">
        <f t="shared" si="1"/>
        <v>620</v>
      </c>
      <c r="M104" s="273">
        <v>620</v>
      </c>
      <c r="N104" s="340">
        <v>510</v>
      </c>
      <c r="O104" s="271">
        <v>480</v>
      </c>
      <c r="P104" s="272">
        <v>335</v>
      </c>
      <c r="Q104" s="284">
        <v>330</v>
      </c>
      <c r="R104" s="344">
        <v>190</v>
      </c>
      <c r="S104" s="341">
        <v>620</v>
      </c>
      <c r="T104" s="342">
        <v>510</v>
      </c>
      <c r="U104" s="288">
        <f t="shared" si="2"/>
        <v>620</v>
      </c>
      <c r="V104" s="288">
        <f t="shared" si="3"/>
        <v>620</v>
      </c>
      <c r="W104" s="288">
        <f t="shared" si="4"/>
        <v>620</v>
      </c>
      <c r="X104" s="288">
        <f t="shared" si="5"/>
        <v>620</v>
      </c>
      <c r="Y104" s="288">
        <f t="shared" si="6"/>
        <v>620</v>
      </c>
      <c r="Z104" s="288">
        <f t="shared" si="7"/>
        <v>620</v>
      </c>
      <c r="AA104" s="21"/>
      <c r="AB104" s="21"/>
    </row>
    <row r="105" spans="1:24" ht="12" customHeight="1" hidden="1">
      <c r="A105" s="20"/>
      <c r="B105" s="20"/>
      <c r="C105" s="20"/>
      <c r="D105" s="20"/>
      <c r="E105" s="20"/>
      <c r="F105" s="19"/>
      <c r="I105" s="316"/>
      <c r="J105" s="317"/>
      <c r="R105" s="21"/>
      <c r="W105" s="21"/>
      <c r="X105" s="21"/>
    </row>
    <row r="106" spans="1:24" ht="12" customHeight="1" hidden="1">
      <c r="A106" s="20"/>
      <c r="B106" s="20"/>
      <c r="C106" s="20"/>
      <c r="D106" s="20"/>
      <c r="E106" s="20"/>
      <c r="F106" s="19"/>
      <c r="I106" s="27"/>
      <c r="J106" s="90"/>
      <c r="W106" s="21"/>
      <c r="X106" s="21"/>
    </row>
    <row r="107" spans="1:24" ht="12" customHeight="1" hidden="1">
      <c r="A107" s="20"/>
      <c r="B107" s="20"/>
      <c r="C107" s="20"/>
      <c r="D107" s="20"/>
      <c r="E107" s="20"/>
      <c r="F107" s="19"/>
      <c r="I107" s="27"/>
      <c r="J107" s="90"/>
      <c r="W107" s="21"/>
      <c r="X107" s="21"/>
    </row>
    <row r="108" spans="1:24" ht="16.5" customHeight="1">
      <c r="A108" s="20" t="s">
        <v>574</v>
      </c>
      <c r="B108" s="20"/>
      <c r="C108" s="20"/>
      <c r="D108" s="20"/>
      <c r="E108" s="20"/>
      <c r="F108" s="19"/>
      <c r="I108" s="27"/>
      <c r="J108" s="90"/>
      <c r="W108" s="21"/>
      <c r="X108" s="21"/>
    </row>
    <row r="109" spans="1:24" ht="15.75" customHeight="1">
      <c r="A109" s="20" t="s">
        <v>551</v>
      </c>
      <c r="B109" s="20"/>
      <c r="C109" s="20"/>
      <c r="D109" s="20"/>
      <c r="E109" s="20"/>
      <c r="F109" s="19"/>
      <c r="I109" s="27"/>
      <c r="J109" s="90"/>
      <c r="W109" s="21"/>
      <c r="X109" s="21"/>
    </row>
    <row r="110" spans="1:24" ht="15" customHeight="1">
      <c r="A110" s="20" t="s">
        <v>552</v>
      </c>
      <c r="B110" s="20"/>
      <c r="C110" s="20"/>
      <c r="D110" s="20"/>
      <c r="E110" s="20"/>
      <c r="F110" s="19"/>
      <c r="I110" s="27"/>
      <c r="J110" s="90"/>
      <c r="W110" s="21"/>
      <c r="X110" s="21"/>
    </row>
    <row r="111" spans="1:24" ht="15.75" customHeight="1">
      <c r="A111" s="20" t="s">
        <v>575</v>
      </c>
      <c r="B111" s="20"/>
      <c r="C111" s="20"/>
      <c r="D111" s="20"/>
      <c r="E111" s="20"/>
      <c r="F111" s="19"/>
      <c r="I111" s="27"/>
      <c r="J111" s="90"/>
      <c r="W111" s="21"/>
      <c r="X111" s="21"/>
    </row>
    <row r="112" spans="1:24" ht="17.25" customHeight="1">
      <c r="A112" s="20" t="s">
        <v>553</v>
      </c>
      <c r="B112" s="20"/>
      <c r="C112" s="20"/>
      <c r="D112" s="20"/>
      <c r="E112" s="20"/>
      <c r="F112" s="19"/>
      <c r="I112" s="27"/>
      <c r="J112" s="90"/>
      <c r="W112" s="21"/>
      <c r="X112" s="21"/>
    </row>
    <row r="113" spans="1:24" ht="15" customHeight="1">
      <c r="A113" s="20" t="s">
        <v>554</v>
      </c>
      <c r="B113" s="20"/>
      <c r="C113" s="20"/>
      <c r="D113" s="20"/>
      <c r="E113" s="20"/>
      <c r="F113" s="19"/>
      <c r="I113" s="27"/>
      <c r="J113" s="90"/>
      <c r="W113" s="21"/>
      <c r="X113" s="21"/>
    </row>
    <row r="114" spans="1:24" ht="15" customHeight="1">
      <c r="A114" s="20" t="s">
        <v>576</v>
      </c>
      <c r="B114" s="20"/>
      <c r="C114" s="20"/>
      <c r="D114" s="20"/>
      <c r="E114" s="20"/>
      <c r="F114" s="19"/>
      <c r="I114" s="27"/>
      <c r="J114" s="90"/>
      <c r="W114" s="21"/>
      <c r="X114" s="21"/>
    </row>
    <row r="115" spans="1:24" ht="15" customHeight="1">
      <c r="A115" s="20" t="s">
        <v>555</v>
      </c>
      <c r="B115" s="20"/>
      <c r="C115" s="20"/>
      <c r="D115" s="20"/>
      <c r="E115" s="20"/>
      <c r="F115" s="19"/>
      <c r="I115" s="27"/>
      <c r="J115" s="90"/>
      <c r="W115" s="21"/>
      <c r="X115" s="21"/>
    </row>
    <row r="116" spans="1:24" ht="15" customHeight="1">
      <c r="A116" s="20"/>
      <c r="B116" s="409" t="s">
        <v>556</v>
      </c>
      <c r="C116" s="20"/>
      <c r="D116" s="20"/>
      <c r="E116" s="20"/>
      <c r="F116" s="19"/>
      <c r="I116" s="27"/>
      <c r="J116" s="90"/>
      <c r="W116" s="21"/>
      <c r="X116" s="21"/>
    </row>
    <row r="117" spans="1:24" ht="15" customHeight="1">
      <c r="A117" s="20" t="s">
        <v>557</v>
      </c>
      <c r="B117" s="20"/>
      <c r="C117" s="20"/>
      <c r="D117" s="20"/>
      <c r="E117" s="20"/>
      <c r="F117" s="19"/>
      <c r="I117" s="27"/>
      <c r="J117" s="90"/>
      <c r="W117" s="21"/>
      <c r="X117" s="21"/>
    </row>
    <row r="118" spans="1:24" ht="15" customHeight="1">
      <c r="A118" s="20" t="s">
        <v>558</v>
      </c>
      <c r="B118" s="20"/>
      <c r="C118" s="20"/>
      <c r="D118" s="20"/>
      <c r="E118" s="20"/>
      <c r="F118" s="19"/>
      <c r="I118" s="27"/>
      <c r="J118" s="90"/>
      <c r="W118" s="21"/>
      <c r="X118" s="21"/>
    </row>
    <row r="119" spans="1:24" ht="15" customHeight="1">
      <c r="A119" s="20" t="s">
        <v>559</v>
      </c>
      <c r="B119" s="20"/>
      <c r="C119" s="20"/>
      <c r="D119" s="20"/>
      <c r="E119" s="20"/>
      <c r="F119" s="19"/>
      <c r="I119" s="27"/>
      <c r="J119" s="90"/>
      <c r="W119" s="21"/>
      <c r="X119" s="21"/>
    </row>
    <row r="120" spans="1:24" ht="15" customHeight="1">
      <c r="A120" s="20" t="s">
        <v>560</v>
      </c>
      <c r="B120" s="20"/>
      <c r="C120" s="20"/>
      <c r="D120" s="20"/>
      <c r="E120" s="20"/>
      <c r="F120" s="19"/>
      <c r="I120" s="27"/>
      <c r="J120" s="90"/>
      <c r="W120" s="21"/>
      <c r="X120" s="21"/>
    </row>
    <row r="121" spans="1:24" ht="15" customHeight="1">
      <c r="A121" s="20" t="s">
        <v>573</v>
      </c>
      <c r="B121" s="20"/>
      <c r="C121" s="20"/>
      <c r="D121" s="20"/>
      <c r="E121" s="20"/>
      <c r="F121" s="19"/>
      <c r="I121" s="27"/>
      <c r="J121" s="90"/>
      <c r="W121" s="21"/>
      <c r="X121" s="21"/>
    </row>
    <row r="122" spans="1:24" ht="15" customHeight="1">
      <c r="A122" s="20"/>
      <c r="B122" s="20"/>
      <c r="C122" s="20"/>
      <c r="D122" s="20"/>
      <c r="E122" s="20"/>
      <c r="F122" s="19"/>
      <c r="I122" s="27"/>
      <c r="J122" s="90"/>
      <c r="W122" s="21"/>
      <c r="X122" s="21"/>
    </row>
    <row r="123" spans="1:6" ht="13.5" customHeight="1">
      <c r="A123" s="410"/>
      <c r="B123" s="411"/>
      <c r="C123" s="412"/>
      <c r="D123" s="411"/>
      <c r="E123" s="411"/>
      <c r="F123" s="411"/>
    </row>
    <row r="124" spans="1:8" ht="14.25" customHeight="1">
      <c r="A124" s="415"/>
      <c r="B124" s="415"/>
      <c r="C124" s="413"/>
      <c r="D124" s="413"/>
      <c r="E124" s="413"/>
      <c r="F124" s="413"/>
      <c r="G124" s="413"/>
      <c r="H124" s="413"/>
    </row>
    <row r="125" spans="1:4" ht="12.75">
      <c r="A125" s="414"/>
      <c r="B125" s="414"/>
      <c r="C125" s="414"/>
      <c r="D125" s="414"/>
    </row>
    <row r="126" spans="1:6" ht="12.75">
      <c r="A126" s="158"/>
      <c r="B126" s="158"/>
      <c r="C126" s="158"/>
      <c r="D126" s="158"/>
      <c r="E126" s="158"/>
      <c r="F126" s="158"/>
    </row>
    <row r="127" spans="1:22" ht="12.75">
      <c r="A127" s="21"/>
      <c r="B127" s="159"/>
      <c r="C127" s="159"/>
      <c r="D127" s="160"/>
      <c r="E127" s="21"/>
      <c r="F127" s="159"/>
      <c r="G127" s="159"/>
      <c r="H127" s="160"/>
      <c r="K127" s="13"/>
      <c r="L127" s="13"/>
      <c r="M127" s="13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4:13" ht="23.25">
      <c r="D128" s="320" t="s">
        <v>379</v>
      </c>
      <c r="F128" s="157"/>
      <c r="I128" s="13"/>
      <c r="J128" s="21"/>
      <c r="K128" s="27"/>
      <c r="L128" s="161"/>
      <c r="M128" s="13"/>
    </row>
    <row r="129" spans="4:13" ht="20.25">
      <c r="D129" s="156"/>
      <c r="F129" s="157"/>
      <c r="J129" s="27"/>
      <c r="K129" s="27"/>
      <c r="L129" s="161"/>
      <c r="M129" s="13"/>
    </row>
    <row r="130" spans="2:10" ht="12.75">
      <c r="B130" s="162" t="s">
        <v>71</v>
      </c>
      <c r="C130" s="162" t="s">
        <v>378</v>
      </c>
      <c r="D130" s="162" t="s">
        <v>377</v>
      </c>
      <c r="E130" s="162" t="s">
        <v>375</v>
      </c>
      <c r="F130" s="162" t="s">
        <v>376</v>
      </c>
      <c r="G130" s="357" t="s">
        <v>537</v>
      </c>
      <c r="J130" s="27"/>
    </row>
    <row r="131" spans="2:7" ht="13.5" thickBot="1">
      <c r="B131" s="237">
        <v>749</v>
      </c>
      <c r="C131" s="163">
        <f>LOOKUP(B131,Cargos!A3:A314,Cargos!C3:C314)</f>
        <v>971</v>
      </c>
      <c r="D131" s="163">
        <f>LOOKUP(B131,Cargos!A3:A314,Cargos!E3:E314)</f>
        <v>0</v>
      </c>
      <c r="E131" s="163">
        <f>LOOKUP(B131,Cargos!A3:A314,Cargos!F3:F314)</f>
        <v>0</v>
      </c>
      <c r="F131" s="162">
        <f>LOOKUP(B131,Cargos!A3:A314,Cargos!G3:G314)</f>
        <v>0</v>
      </c>
      <c r="G131" s="162">
        <f>LOOKUP(B131,Cargos!A3:A314,[0]!puntoscompbasico)</f>
        <v>170</v>
      </c>
    </row>
    <row r="132" spans="2:6" ht="19.5" customHeight="1" thickBot="1">
      <c r="B132" s="164" t="s">
        <v>441</v>
      </c>
      <c r="C132" s="82"/>
      <c r="D132" s="115" t="str">
        <f>LOOKUP(B131,Cargos!A3:A314,Cargos!B3:B314)</f>
        <v> MAESTRO DE GRADO</v>
      </c>
      <c r="E132" s="82"/>
      <c r="F132" s="170"/>
    </row>
    <row r="133" spans="2:13" ht="20.25">
      <c r="B133" s="251" t="s">
        <v>442</v>
      </c>
      <c r="E133" s="156"/>
      <c r="K133" s="27"/>
      <c r="L133" s="161"/>
      <c r="M133" s="13"/>
    </row>
    <row r="134" spans="4:13" ht="20.25">
      <c r="D134" s="156"/>
      <c r="F134" s="157"/>
      <c r="J134" s="27"/>
      <c r="K134" s="27"/>
      <c r="L134" s="161"/>
      <c r="M134" s="13"/>
    </row>
    <row r="135" spans="5:13" ht="16.5" thickBot="1">
      <c r="E135" s="165"/>
      <c r="L135" s="160"/>
      <c r="M135" s="13"/>
    </row>
    <row r="136" spans="3:13" ht="16.5" thickBot="1">
      <c r="C136" s="204" t="s">
        <v>406</v>
      </c>
      <c r="D136" s="82"/>
      <c r="E136" s="92">
        <v>0</v>
      </c>
      <c r="G136" s="308" t="s">
        <v>404</v>
      </c>
      <c r="H136" s="309">
        <f>IF(E138&gt;921,1,0)</f>
        <v>1</v>
      </c>
      <c r="I136" s="210"/>
      <c r="J136" s="13"/>
      <c r="K136" s="13"/>
      <c r="L136" s="13"/>
      <c r="M136" s="13"/>
    </row>
    <row r="137" spans="3:16" ht="16.5" thickBot="1">
      <c r="C137" s="19"/>
      <c r="D137" s="19"/>
      <c r="E137" s="166">
        <f>LOOKUP(E136,I80:I91,J80:J91)</f>
        <v>0</v>
      </c>
      <c r="J137" s="13"/>
      <c r="K137" s="13"/>
      <c r="L137" s="13"/>
      <c r="M137" s="13"/>
      <c r="P137" s="321"/>
    </row>
    <row r="138" spans="3:13" ht="18.75" thickBot="1">
      <c r="C138" s="167" t="s">
        <v>5</v>
      </c>
      <c r="D138" s="167"/>
      <c r="E138" s="168">
        <f>C131</f>
        <v>971</v>
      </c>
      <c r="F138" s="169" t="s">
        <v>414</v>
      </c>
      <c r="G138" s="170"/>
      <c r="H138" s="265">
        <f>F131+E131</f>
        <v>0</v>
      </c>
      <c r="J138" s="13"/>
      <c r="K138" s="13"/>
      <c r="L138" s="13"/>
      <c r="M138" s="13"/>
    </row>
    <row r="139" spans="3:13" ht="18">
      <c r="C139" s="291"/>
      <c r="D139" s="291"/>
      <c r="E139" s="362"/>
      <c r="F139" s="363"/>
      <c r="G139" s="19"/>
      <c r="H139" s="364"/>
      <c r="J139" s="13"/>
      <c r="K139" s="13"/>
      <c r="L139" s="13"/>
      <c r="M139" s="13"/>
    </row>
    <row r="140" spans="3:13" ht="18.75" thickBot="1">
      <c r="C140" s="291"/>
      <c r="D140" s="291"/>
      <c r="E140" s="408" t="s">
        <v>565</v>
      </c>
      <c r="F140" s="363"/>
      <c r="G140" s="19"/>
      <c r="H140" s="364"/>
      <c r="J140" s="13"/>
      <c r="K140" s="13"/>
      <c r="L140" s="13"/>
      <c r="M140" s="13"/>
    </row>
    <row r="141" spans="3:13" ht="19.5" thickBot="1" thickTop="1">
      <c r="C141" s="365" t="s">
        <v>538</v>
      </c>
      <c r="D141" s="366"/>
      <c r="E141" s="367">
        <v>2</v>
      </c>
      <c r="F141" s="363"/>
      <c r="G141" s="19"/>
      <c r="H141" s="364"/>
      <c r="J141" s="13"/>
      <c r="K141" s="13"/>
      <c r="L141" s="13"/>
      <c r="M141" s="13"/>
    </row>
    <row r="142" spans="3:13" ht="19.5" thickBot="1" thickTop="1">
      <c r="C142" s="291"/>
      <c r="D142" s="291"/>
      <c r="E142" s="362"/>
      <c r="F142" s="363"/>
      <c r="G142" s="19"/>
      <c r="H142" s="364"/>
      <c r="J142" s="13"/>
      <c r="K142" s="13"/>
      <c r="L142" s="13"/>
      <c r="M142" s="13"/>
    </row>
    <row r="143" spans="2:13" ht="18">
      <c r="B143" s="371" t="s">
        <v>541</v>
      </c>
      <c r="C143" s="372" t="s">
        <v>539</v>
      </c>
      <c r="D143" s="373"/>
      <c r="E143" s="381">
        <f>SUM(G165:G173)</f>
        <v>56.983206666666675</v>
      </c>
      <c r="F143" s="363"/>
      <c r="G143" s="19"/>
      <c r="H143" s="364"/>
      <c r="J143" s="13"/>
      <c r="K143" s="13"/>
      <c r="L143" s="13"/>
      <c r="M143" s="13"/>
    </row>
    <row r="144" spans="2:13" ht="18">
      <c r="B144" s="374" t="s">
        <v>542</v>
      </c>
      <c r="C144" s="370" t="s">
        <v>540</v>
      </c>
      <c r="D144" s="369"/>
      <c r="E144" s="382">
        <f>G174+G177+G178+G179</f>
        <v>44.77366183999999</v>
      </c>
      <c r="F144" s="363"/>
      <c r="G144" s="19"/>
      <c r="H144" s="364"/>
      <c r="J144" s="13"/>
      <c r="K144" s="13"/>
      <c r="L144" s="13"/>
      <c r="M144" s="13"/>
    </row>
    <row r="145" spans="6:13" ht="15.75">
      <c r="F145" s="363"/>
      <c r="G145" s="19"/>
      <c r="H145" s="364"/>
      <c r="J145" s="13"/>
      <c r="K145" s="13"/>
      <c r="L145" s="13"/>
      <c r="M145" s="13"/>
    </row>
    <row r="146" spans="2:13" ht="15.75">
      <c r="B146" s="3" t="s">
        <v>561</v>
      </c>
      <c r="F146" s="363"/>
      <c r="G146" s="19"/>
      <c r="H146" s="364"/>
      <c r="J146" s="13"/>
      <c r="K146" s="13"/>
      <c r="L146" s="13"/>
      <c r="M146" s="13"/>
    </row>
    <row r="147" spans="3:13" ht="18.75" thickBot="1">
      <c r="C147" s="291"/>
      <c r="D147" s="291"/>
      <c r="E147" s="408" t="s">
        <v>565</v>
      </c>
      <c r="F147" s="363"/>
      <c r="G147" s="19"/>
      <c r="H147" s="364"/>
      <c r="J147" s="13"/>
      <c r="K147" s="13"/>
      <c r="L147" s="13"/>
      <c r="M147" s="13"/>
    </row>
    <row r="148" spans="3:13" ht="19.5" thickBot="1" thickTop="1">
      <c r="C148" s="365" t="s">
        <v>545</v>
      </c>
      <c r="D148" s="366"/>
      <c r="E148" s="367">
        <v>0</v>
      </c>
      <c r="F148" s="363"/>
      <c r="G148" s="19"/>
      <c r="H148" s="364"/>
      <c r="J148" s="13"/>
      <c r="K148" s="13"/>
      <c r="L148" s="13"/>
      <c r="M148" s="13"/>
    </row>
    <row r="149" spans="3:13" ht="19.5" thickBot="1" thickTop="1">
      <c r="C149" s="365" t="s">
        <v>546</v>
      </c>
      <c r="D149" s="366"/>
      <c r="E149" s="379">
        <f>LOOKUP(diaspresent,presdias,presporc)</f>
        <v>0</v>
      </c>
      <c r="F149" s="363"/>
      <c r="G149" s="19"/>
      <c r="H149" s="364"/>
      <c r="J149" s="13"/>
      <c r="K149" s="13"/>
      <c r="L149" s="13"/>
      <c r="M149" s="13"/>
    </row>
    <row r="150" spans="3:13" ht="18.75" thickTop="1">
      <c r="C150" s="291"/>
      <c r="D150" s="291"/>
      <c r="E150" s="362"/>
      <c r="F150" s="363"/>
      <c r="G150" s="19"/>
      <c r="H150" s="364"/>
      <c r="J150" s="13"/>
      <c r="K150" s="13"/>
      <c r="L150" s="13"/>
      <c r="M150" s="13"/>
    </row>
    <row r="151" spans="2:13" ht="18.75" thickBot="1">
      <c r="B151" s="375" t="s">
        <v>543</v>
      </c>
      <c r="C151" s="376" t="s">
        <v>544</v>
      </c>
      <c r="D151" s="377"/>
      <c r="E151" s="380">
        <f>E170*E149</f>
        <v>0</v>
      </c>
      <c r="F151" s="363"/>
      <c r="G151" s="19"/>
      <c r="H151" s="364"/>
      <c r="J151" s="13"/>
      <c r="K151" s="13"/>
      <c r="L151" s="13"/>
      <c r="M151" s="13"/>
    </row>
    <row r="152" spans="2:13" ht="18">
      <c r="B152" s="368"/>
      <c r="C152" s="368"/>
      <c r="D152" s="291"/>
      <c r="E152" s="362"/>
      <c r="F152" s="363"/>
      <c r="G152" s="19"/>
      <c r="H152" s="364"/>
      <c r="J152" s="13"/>
      <c r="K152" s="13"/>
      <c r="L152" s="13"/>
      <c r="M152" s="13"/>
    </row>
    <row r="153" spans="2:13" ht="18">
      <c r="B153" s="368" t="s">
        <v>562</v>
      </c>
      <c r="C153" s="368"/>
      <c r="D153" s="291"/>
      <c r="E153" s="362"/>
      <c r="F153" s="363"/>
      <c r="G153" s="19"/>
      <c r="H153" s="364"/>
      <c r="J153" s="13"/>
      <c r="K153" s="13"/>
      <c r="L153" s="13"/>
      <c r="M153" s="13"/>
    </row>
    <row r="154" spans="2:13" ht="18.75" thickBot="1">
      <c r="B154" s="368"/>
      <c r="C154" s="368"/>
      <c r="D154" s="291"/>
      <c r="E154" s="362"/>
      <c r="F154" s="398" t="s">
        <v>547</v>
      </c>
      <c r="G154" s="19"/>
      <c r="H154" s="364"/>
      <c r="J154" s="13"/>
      <c r="K154" s="13"/>
      <c r="L154" s="13"/>
      <c r="M154" s="13"/>
    </row>
    <row r="155" spans="3:13" ht="18">
      <c r="C155" s="399" t="s">
        <v>392</v>
      </c>
      <c r="D155" s="400" t="s">
        <v>413</v>
      </c>
      <c r="E155" s="381">
        <f>-F182*(30-diasdesc)/30</f>
        <v>127.64238293333334</v>
      </c>
      <c r="F155" s="44">
        <f>-F182*diasdesc/30</f>
        <v>9.117313066666668</v>
      </c>
      <c r="G155" s="19"/>
      <c r="H155" s="364"/>
      <c r="J155" s="13"/>
      <c r="K155" s="13"/>
      <c r="L155" s="13"/>
      <c r="M155" s="13"/>
    </row>
    <row r="156" spans="3:13" ht="18">
      <c r="C156" s="401" t="s">
        <v>393</v>
      </c>
      <c r="D156" s="94" t="s">
        <v>410</v>
      </c>
      <c r="E156" s="382">
        <f>-F183*(30-diasdesc)/30</f>
        <v>4.78658936</v>
      </c>
      <c r="F156" s="44">
        <f>-F183*diasdesc/30</f>
        <v>0.34189924</v>
      </c>
      <c r="G156" s="19"/>
      <c r="H156" s="364"/>
      <c r="J156" s="13"/>
      <c r="K156" s="13"/>
      <c r="L156" s="13"/>
      <c r="M156" s="13"/>
    </row>
    <row r="157" spans="3:13" ht="18.75" thickBot="1">
      <c r="C157" s="402" t="s">
        <v>394</v>
      </c>
      <c r="D157" s="403" t="s">
        <v>412</v>
      </c>
      <c r="E157" s="380">
        <f>-F184*(30-diasdesc)/30</f>
        <v>23.9329468</v>
      </c>
      <c r="F157" s="44">
        <f>-F184*diasdesc/30</f>
        <v>1.7094962</v>
      </c>
      <c r="G157" s="19"/>
      <c r="H157" s="364"/>
      <c r="J157" s="13"/>
      <c r="K157" s="13"/>
      <c r="L157" s="13"/>
      <c r="M157" s="13"/>
    </row>
    <row r="158" spans="2:13" ht="18">
      <c r="B158" s="368"/>
      <c r="C158" s="368"/>
      <c r="D158" s="291"/>
      <c r="E158" s="362"/>
      <c r="F158" s="363"/>
      <c r="G158" s="19"/>
      <c r="H158" s="364"/>
      <c r="J158" s="13"/>
      <c r="K158" s="13"/>
      <c r="L158" s="13"/>
      <c r="M158" s="13"/>
    </row>
    <row r="159" spans="2:13" ht="18.75" thickBot="1">
      <c r="B159" s="368"/>
      <c r="C159" s="368" t="s">
        <v>563</v>
      </c>
      <c r="D159" s="291"/>
      <c r="E159" s="362"/>
      <c r="F159" s="363"/>
      <c r="G159" s="19"/>
      <c r="H159" s="364"/>
      <c r="J159" s="13"/>
      <c r="K159" s="13"/>
      <c r="L159" s="13"/>
      <c r="M159" s="13"/>
    </row>
    <row r="160" spans="2:13" ht="18.75" thickBot="1">
      <c r="B160" s="368"/>
      <c r="C160" s="404" t="s">
        <v>548</v>
      </c>
      <c r="D160" s="405"/>
      <c r="E160" s="406">
        <f>E143+E144+E151-F155-F156-F157</f>
        <v>90.58815999999999</v>
      </c>
      <c r="F160" s="363"/>
      <c r="G160" s="19"/>
      <c r="H160" s="364"/>
      <c r="J160" s="13"/>
      <c r="K160" s="13"/>
      <c r="L160" s="13"/>
      <c r="M160" s="13"/>
    </row>
    <row r="161" spans="3:13" ht="18">
      <c r="C161" s="291"/>
      <c r="D161" s="291"/>
      <c r="E161" s="362"/>
      <c r="F161" s="363"/>
      <c r="G161" s="19"/>
      <c r="H161" s="364"/>
      <c r="J161" s="13"/>
      <c r="K161" s="13"/>
      <c r="L161" s="13"/>
      <c r="M161" s="13"/>
    </row>
    <row r="162" spans="3:13" ht="15.75">
      <c r="C162" s="19"/>
      <c r="D162" s="19"/>
      <c r="E162" s="171"/>
      <c r="H162" s="19"/>
      <c r="J162" s="13"/>
      <c r="K162" s="13"/>
      <c r="L162" s="13"/>
      <c r="M162" s="13"/>
    </row>
    <row r="163" spans="2:4" ht="18.75" thickBot="1">
      <c r="B163" s="13"/>
      <c r="C163" s="291" t="s">
        <v>564</v>
      </c>
      <c r="D163" s="13"/>
    </row>
    <row r="164" spans="2:8" ht="13.5" thickBot="1">
      <c r="B164" s="185" t="s">
        <v>452</v>
      </c>
      <c r="C164" s="261" t="s">
        <v>451</v>
      </c>
      <c r="D164" s="261" t="s">
        <v>407</v>
      </c>
      <c r="E164" s="261" t="s">
        <v>408</v>
      </c>
      <c r="F164" s="262" t="s">
        <v>409</v>
      </c>
      <c r="G164" s="27"/>
      <c r="H164" s="27"/>
    </row>
    <row r="165" spans="2:8" ht="12.75">
      <c r="B165" s="258" t="s">
        <v>384</v>
      </c>
      <c r="C165" s="224"/>
      <c r="D165" s="259" t="s">
        <v>385</v>
      </c>
      <c r="E165" s="260">
        <f>E138*indicejul08</f>
        <v>611.73</v>
      </c>
      <c r="F165" s="178"/>
      <c r="G165" s="37">
        <f>E165*diasdesc/30</f>
        <v>40.782000000000004</v>
      </c>
      <c r="H165" s="37"/>
    </row>
    <row r="166" spans="2:8" ht="12.75">
      <c r="B166" s="356" t="s">
        <v>527</v>
      </c>
      <c r="C166" s="224"/>
      <c r="D166" s="259" t="s">
        <v>528</v>
      </c>
      <c r="E166" s="260">
        <f>compbasico*indicejul08</f>
        <v>107.1</v>
      </c>
      <c r="F166" s="178"/>
      <c r="G166" s="37">
        <f>E166*diasdesc/30</f>
        <v>7.14</v>
      </c>
      <c r="H166" s="37"/>
    </row>
    <row r="167" spans="2:8" ht="12.75">
      <c r="B167" s="88" t="s">
        <v>388</v>
      </c>
      <c r="C167" s="87"/>
      <c r="D167" s="175" t="s">
        <v>415</v>
      </c>
      <c r="E167" s="130">
        <f>LOOKUP(C168,porant,cod06cargos)</f>
        <v>80</v>
      </c>
      <c r="F167" s="95"/>
      <c r="G167" s="37">
        <f>E167*diasdesc/30</f>
        <v>5.333333333333333</v>
      </c>
      <c r="H167" s="37"/>
    </row>
    <row r="168" spans="2:8" ht="12.75">
      <c r="B168" s="176" t="s">
        <v>383</v>
      </c>
      <c r="C168" s="177">
        <f>E137</f>
        <v>0</v>
      </c>
      <c r="D168" s="114" t="s">
        <v>0</v>
      </c>
      <c r="E168" s="174">
        <f>(E165+E166+E171+E172)*C168</f>
        <v>0</v>
      </c>
      <c r="F168" s="178"/>
      <c r="G168" s="37">
        <f>E168*diasdesc/30</f>
        <v>0</v>
      </c>
      <c r="H168" s="37"/>
    </row>
    <row r="169" spans="2:8" ht="12.75">
      <c r="B169" s="88" t="s">
        <v>389</v>
      </c>
      <c r="C169" s="87"/>
      <c r="D169" s="175" t="s">
        <v>416</v>
      </c>
      <c r="E169" s="130">
        <f>E167*0.07</f>
        <v>5.6000000000000005</v>
      </c>
      <c r="F169" s="95"/>
      <c r="G169" s="37">
        <f>E169*diasdesc/30</f>
        <v>0.37333333333333335</v>
      </c>
      <c r="H169" s="37"/>
    </row>
    <row r="170" spans="2:8" ht="12.75">
      <c r="B170" s="179" t="s">
        <v>386</v>
      </c>
      <c r="C170" s="114">
        <v>0.07</v>
      </c>
      <c r="D170" s="114" t="s">
        <v>417</v>
      </c>
      <c r="E170" s="174">
        <f>(E165+E166+E168+E171+E172+E173)*C170</f>
        <v>50.31810000000001</v>
      </c>
      <c r="F170" s="178"/>
      <c r="G170" s="37">
        <f>E170*diasdesc/30</f>
        <v>3.3545400000000005</v>
      </c>
      <c r="H170" s="37"/>
    </row>
    <row r="171" spans="2:8" ht="12.75">
      <c r="B171" s="172" t="s">
        <v>382</v>
      </c>
      <c r="C171" s="173"/>
      <c r="D171" s="175" t="s">
        <v>398</v>
      </c>
      <c r="E171" s="174">
        <f>puntosproljor*proljorjul08</f>
        <v>0</v>
      </c>
      <c r="F171" s="178"/>
      <c r="G171" s="37">
        <f>E171*diasdesc/30</f>
        <v>0</v>
      </c>
      <c r="H171" s="37"/>
    </row>
    <row r="172" spans="2:8" ht="12.75">
      <c r="B172" s="172" t="s">
        <v>381</v>
      </c>
      <c r="C172" s="173"/>
      <c r="D172" s="114" t="s">
        <v>399</v>
      </c>
      <c r="E172" s="174">
        <f>D131*indicejul08</f>
        <v>0</v>
      </c>
      <c r="F172" s="178"/>
      <c r="G172" s="37">
        <f>E172*diasdesc/30</f>
        <v>0</v>
      </c>
      <c r="H172" s="37"/>
    </row>
    <row r="173" spans="2:8" ht="15">
      <c r="B173" s="172" t="s">
        <v>380</v>
      </c>
      <c r="C173" s="89">
        <f>0</f>
        <v>0</v>
      </c>
      <c r="D173" s="114" t="s">
        <v>456</v>
      </c>
      <c r="E173" s="180">
        <f>(E165+E166+E171+E172)*C173</f>
        <v>0</v>
      </c>
      <c r="F173" s="181"/>
      <c r="G173" s="37">
        <f>E173*diasdesc/30</f>
        <v>0</v>
      </c>
      <c r="H173" s="37"/>
    </row>
    <row r="174" spans="2:8" ht="12.75">
      <c r="B174" s="179" t="s">
        <v>387</v>
      </c>
      <c r="C174" s="173"/>
      <c r="D174" s="256" t="s">
        <v>404</v>
      </c>
      <c r="E174" s="257">
        <f>IF(E138&lt;1300,IF(E165+E166+E168+E171+E172+E170+F182+F183+F184+0.196*F181+((E167+E173)*0.20972)-E173*0.07+E177+E179&gt;(salminimojul08),0,(salminimojul08)-(E165+E166+E168+E171+E172+E170+F182+F183+F184+0.196*F181+((E167+E173)*0.20972)-E173*0.07+E177+E179)),0)</f>
        <v>461.6049275999999</v>
      </c>
      <c r="F174" s="254"/>
      <c r="G174" s="37">
        <f>E174*diasdesc/30</f>
        <v>30.773661839999992</v>
      </c>
      <c r="H174" s="37"/>
    </row>
    <row r="175" spans="2:8" ht="16.5" thickBot="1">
      <c r="B175" s="182" t="s">
        <v>400</v>
      </c>
      <c r="C175" s="183" t="s">
        <v>401</v>
      </c>
      <c r="D175" s="131"/>
      <c r="E175" s="134">
        <v>0</v>
      </c>
      <c r="F175" s="252"/>
      <c r="G175" s="37">
        <f>E175*diasdesc/30</f>
        <v>0</v>
      </c>
      <c r="H175" s="37"/>
    </row>
    <row r="176" spans="2:8" ht="16.5" thickBot="1">
      <c r="B176" s="182"/>
      <c r="C176" s="184"/>
      <c r="D176" s="185" t="s">
        <v>403</v>
      </c>
      <c r="E176" s="186">
        <f>SUM(E165:E175)</f>
        <v>1316.3530276</v>
      </c>
      <c r="F176" s="253"/>
      <c r="G176" s="37">
        <f>E176*diasdesc/30</f>
        <v>87.75686850666666</v>
      </c>
      <c r="H176" s="37"/>
    </row>
    <row r="177" spans="2:8" ht="15.75">
      <c r="B177" s="176" t="s">
        <v>390</v>
      </c>
      <c r="C177" s="266">
        <v>1</v>
      </c>
      <c r="D177" s="187" t="s">
        <v>402</v>
      </c>
      <c r="E177" s="267">
        <f>IF(puntosproljor&lt;620,110,220)*C177</f>
        <v>110</v>
      </c>
      <c r="F177" s="252"/>
      <c r="G177" s="37">
        <f>E177*diasdesc/30</f>
        <v>7.333333333333333</v>
      </c>
      <c r="H177" s="37"/>
    </row>
    <row r="178" spans="2:8" ht="15.75">
      <c r="B178" s="176" t="s">
        <v>396</v>
      </c>
      <c r="C178" s="266"/>
      <c r="D178" s="183" t="s">
        <v>405</v>
      </c>
      <c r="E178" s="338">
        <v>0</v>
      </c>
      <c r="F178" s="252"/>
      <c r="G178" s="37">
        <f>E178*diasdesc/30</f>
        <v>0</v>
      </c>
      <c r="H178" s="37"/>
    </row>
    <row r="179" spans="2:8" ht="16.5" thickBot="1">
      <c r="B179" s="176" t="s">
        <v>391</v>
      </c>
      <c r="C179" s="266">
        <v>1</v>
      </c>
      <c r="D179" s="183" t="s">
        <v>397</v>
      </c>
      <c r="E179" s="268">
        <f>IF(puntosproljor&lt;620,100,200)*C179</f>
        <v>100</v>
      </c>
      <c r="F179" s="252"/>
      <c r="G179" s="37">
        <f>E179*diasdesc/30</f>
        <v>6.666666666666667</v>
      </c>
      <c r="H179" s="37"/>
    </row>
    <row r="180" spans="2:8" ht="16.5" thickBot="1">
      <c r="B180" s="182"/>
      <c r="C180" s="188"/>
      <c r="D180" s="189" t="s">
        <v>1</v>
      </c>
      <c r="E180" s="190">
        <f>E176+E177+E178+E179</f>
        <v>1526.3530276</v>
      </c>
      <c r="F180" s="191"/>
      <c r="G180" s="37"/>
      <c r="H180" s="37"/>
    </row>
    <row r="181" spans="2:8" ht="15.75">
      <c r="B181" s="176" t="s">
        <v>422</v>
      </c>
      <c r="C181" s="192"/>
      <c r="D181" s="193" t="s">
        <v>423</v>
      </c>
      <c r="E181" s="313">
        <f>E151</f>
        <v>0</v>
      </c>
      <c r="F181" s="194">
        <f>-E181</f>
        <v>0</v>
      </c>
      <c r="G181" s="35"/>
      <c r="H181" s="35"/>
    </row>
    <row r="182" spans="2:8" ht="15.75">
      <c r="B182" s="172" t="s">
        <v>392</v>
      </c>
      <c r="C182" s="195">
        <v>0.16</v>
      </c>
      <c r="D182" s="196" t="s">
        <v>413</v>
      </c>
      <c r="E182" s="312"/>
      <c r="F182" s="197">
        <f>-(E165+E166+E168+E170+E167+E169+E171+E172+E173+F181)*C182</f>
        <v>-136.75969600000002</v>
      </c>
      <c r="G182" s="35"/>
      <c r="H182" s="35"/>
    </row>
    <row r="183" spans="2:8" ht="15.75">
      <c r="B183" s="172" t="s">
        <v>393</v>
      </c>
      <c r="C183" s="198">
        <v>0.006</v>
      </c>
      <c r="D183" s="173" t="s">
        <v>410</v>
      </c>
      <c r="E183" s="312"/>
      <c r="F183" s="197">
        <f>-(E165+E166+E168+E170+E167+E169+E171+E172+E173+F181)*C183</f>
        <v>-5.1284886</v>
      </c>
      <c r="G183" s="35"/>
      <c r="H183" s="35"/>
    </row>
    <row r="184" spans="2:8" ht="15.75">
      <c r="B184" s="172" t="s">
        <v>394</v>
      </c>
      <c r="C184" s="195">
        <v>0.03</v>
      </c>
      <c r="D184" s="196" t="s">
        <v>412</v>
      </c>
      <c r="E184" s="312"/>
      <c r="F184" s="197">
        <f>-(E165+E166+E168+E170+E167+E169+E171+E172+E173+F181)*C184</f>
        <v>-25.642443</v>
      </c>
      <c r="G184" s="35"/>
      <c r="H184" s="35"/>
    </row>
    <row r="185" spans="2:8" ht="15.75">
      <c r="B185" s="172" t="s">
        <v>395</v>
      </c>
      <c r="C185" s="195"/>
      <c r="D185" s="196" t="s">
        <v>411</v>
      </c>
      <c r="E185" s="238">
        <v>0</v>
      </c>
      <c r="F185" s="199">
        <f>-E185</f>
        <v>0</v>
      </c>
      <c r="G185" s="35"/>
      <c r="H185" s="35"/>
    </row>
    <row r="186" spans="2:8" ht="16.5" thickBot="1">
      <c r="B186" s="200"/>
      <c r="C186" s="239">
        <v>0</v>
      </c>
      <c r="D186" s="201" t="s">
        <v>2</v>
      </c>
      <c r="E186" s="201"/>
      <c r="F186" s="202">
        <f>-C186*(E165+E166+E168+E169+E170+E167+E171+E172+E173+F181)</f>
        <v>0</v>
      </c>
      <c r="G186" s="35"/>
      <c r="H186" s="35"/>
    </row>
    <row r="187" spans="2:8" ht="16.5" thickBot="1">
      <c r="B187" s="200"/>
      <c r="C187" s="188"/>
      <c r="D187" s="189" t="s">
        <v>3</v>
      </c>
      <c r="E187" s="133"/>
      <c r="F187" s="203">
        <f>SUM(F181:F186)</f>
        <v>-167.5306276</v>
      </c>
      <c r="G187" s="35"/>
      <c r="H187" s="35"/>
    </row>
    <row r="188" spans="2:6" ht="13.5" thickBot="1">
      <c r="B188" s="289"/>
      <c r="D188" s="22"/>
      <c r="F188" s="19"/>
    </row>
    <row r="189" spans="2:6" ht="16.5" thickBot="1">
      <c r="B189" s="242"/>
      <c r="C189" s="204" t="s">
        <v>4</v>
      </c>
      <c r="D189" s="205"/>
      <c r="E189" s="190">
        <f>E180+F187</f>
        <v>1358.8224</v>
      </c>
      <c r="F189" s="19"/>
    </row>
    <row r="190" ht="12.75"/>
    <row r="191" ht="12.75"/>
    <row r="192" spans="2:6" ht="15.75">
      <c r="B192" s="242"/>
      <c r="C192" s="241"/>
      <c r="D192" s="241"/>
      <c r="E192" s="6" t="s">
        <v>448</v>
      </c>
      <c r="F192" s="206"/>
    </row>
    <row r="193" spans="2:6" ht="16.5" thickBot="1">
      <c r="B193" s="241" t="s">
        <v>444</v>
      </c>
      <c r="C193" s="206"/>
      <c r="E193" s="6">
        <v>502</v>
      </c>
      <c r="F193" s="244">
        <f>-(E165+E166+E168+E170+E167+E169+E171+E173+F181+D194)*C182</f>
        <v>-205.13954400000003</v>
      </c>
    </row>
    <row r="194" spans="2:6" ht="16.5" thickBot="1">
      <c r="B194" s="204" t="s">
        <v>445</v>
      </c>
      <c r="C194" s="129"/>
      <c r="D194" s="245">
        <f>(E165+E166+E167+E168+E169+E170+E171+E172+E173)*0.5</f>
        <v>427.37405</v>
      </c>
      <c r="E194" s="6">
        <v>504</v>
      </c>
      <c r="F194" s="244">
        <f>-(E165+E166+E168+E170+E167+E169+E171+E173+F181+D194)*C183</f>
        <v>-7.692732900000001</v>
      </c>
    </row>
    <row r="195" spans="2:6" ht="16.5" thickBot="1">
      <c r="B195" s="246" t="s">
        <v>446</v>
      </c>
      <c r="C195" s="129"/>
      <c r="D195" s="247">
        <f>E174*0.5</f>
        <v>230.80246379999994</v>
      </c>
      <c r="E195" s="6">
        <v>505</v>
      </c>
      <c r="F195" s="244">
        <f>-(E165+E166+E168+E170+E167+E169+E171+E173+F181+D194)*C184</f>
        <v>-38.4636645</v>
      </c>
    </row>
    <row r="196" spans="2:6" ht="16.5" thickBot="1">
      <c r="B196" s="242"/>
      <c r="C196" s="207"/>
      <c r="D196" s="20"/>
      <c r="E196" s="206"/>
      <c r="F196" s="206"/>
    </row>
    <row r="197" spans="3:6" ht="16.5" thickBot="1">
      <c r="C197" s="20"/>
      <c r="D197" s="248" t="s">
        <v>449</v>
      </c>
      <c r="E197" s="208"/>
      <c r="F197" s="243">
        <f>E180+D194+D195+F193+F194+F195</f>
        <v>1933.2336</v>
      </c>
    </row>
    <row r="198" spans="3:6" ht="15.75">
      <c r="C198" s="20"/>
      <c r="D198" s="248"/>
      <c r="E198" s="208"/>
      <c r="F198" s="206"/>
    </row>
    <row r="199" spans="3:6" ht="15.75">
      <c r="C199" s="20"/>
      <c r="D199" s="307" t="s">
        <v>458</v>
      </c>
      <c r="E199" s="305"/>
      <c r="F199" s="306">
        <f>F197-E189</f>
        <v>574.4112</v>
      </c>
    </row>
    <row r="200" spans="3:16" ht="12.75">
      <c r="C200" s="13"/>
      <c r="D200" s="13"/>
      <c r="I200" s="13"/>
      <c r="J200" s="13"/>
      <c r="O200" s="13"/>
      <c r="P200" s="13"/>
    </row>
    <row r="201" spans="3:10" s="415" customFormat="1" ht="22.5" customHeight="1">
      <c r="C201" s="416"/>
      <c r="D201" s="417"/>
      <c r="E201" s="417"/>
      <c r="F201" s="417"/>
      <c r="G201" s="417"/>
      <c r="H201" s="417"/>
      <c r="I201" s="418"/>
      <c r="J201" s="417"/>
    </row>
    <row r="202" spans="9:13" ht="12.75">
      <c r="I202" s="13"/>
      <c r="J202" s="13"/>
      <c r="K202" s="13"/>
      <c r="L202" s="13"/>
      <c r="M202" s="13"/>
    </row>
    <row r="203" spans="4:13" ht="23.25">
      <c r="D203" s="320" t="s">
        <v>9</v>
      </c>
      <c r="J203" s="13"/>
      <c r="K203" s="13"/>
      <c r="L203" s="161"/>
      <c r="M203" s="13"/>
    </row>
    <row r="204" spans="10:13" ht="13.5" thickBot="1">
      <c r="J204" s="27"/>
      <c r="K204" s="13"/>
      <c r="L204" s="209"/>
      <c r="M204" s="13"/>
    </row>
    <row r="205" spans="3:13" ht="16.5" thickBot="1">
      <c r="C205" s="204" t="s">
        <v>10</v>
      </c>
      <c r="D205" s="82"/>
      <c r="E205" s="1">
        <v>36</v>
      </c>
      <c r="H205" s="210"/>
      <c r="J205" s="27"/>
      <c r="K205" s="13"/>
      <c r="L205" s="13"/>
      <c r="M205" s="13"/>
    </row>
    <row r="206" spans="3:13" ht="16.5" thickBot="1">
      <c r="C206" s="204" t="s">
        <v>432</v>
      </c>
      <c r="D206" s="82"/>
      <c r="E206" s="2">
        <v>12</v>
      </c>
      <c r="G206" s="292" t="s">
        <v>490</v>
      </c>
      <c r="I206" s="210"/>
      <c r="J206" s="13"/>
      <c r="K206" s="13"/>
      <c r="L206" s="13"/>
      <c r="M206" s="13"/>
    </row>
    <row r="207" spans="5:13" ht="16.5" thickBot="1">
      <c r="E207" s="211">
        <f>LOOKUP(E206,I80:I91,J80:J91)</f>
        <v>0.6</v>
      </c>
      <c r="G207" s="293">
        <f>nuevocod38med*E205</f>
        <v>127.008</v>
      </c>
      <c r="I207" s="212"/>
      <c r="J207" s="13"/>
      <c r="K207" s="13"/>
      <c r="L207" s="13"/>
      <c r="M207" s="13"/>
    </row>
    <row r="208" spans="3:13" ht="18.75" thickBot="1">
      <c r="C208" s="322" t="s">
        <v>507</v>
      </c>
      <c r="D208" s="323"/>
      <c r="E208" s="324"/>
      <c r="G208" s="293"/>
      <c r="I208" s="212"/>
      <c r="J208" s="13"/>
      <c r="K208" s="13"/>
      <c r="L208" s="13"/>
      <c r="M208" s="13"/>
    </row>
    <row r="209" spans="3:13" ht="16.5" thickBot="1">
      <c r="C209" s="325" t="s">
        <v>508</v>
      </c>
      <c r="D209" s="326"/>
      <c r="E209" s="327">
        <v>30</v>
      </c>
      <c r="G209" s="293"/>
      <c r="I209" s="212"/>
      <c r="J209" s="13"/>
      <c r="K209" s="13"/>
      <c r="L209" s="13"/>
      <c r="M209" s="13"/>
    </row>
    <row r="210" spans="3:13" ht="16.5" thickBot="1">
      <c r="C210" s="325" t="s">
        <v>509</v>
      </c>
      <c r="D210" s="326"/>
      <c r="E210" s="327">
        <v>30</v>
      </c>
      <c r="G210" s="293"/>
      <c r="I210" s="212"/>
      <c r="J210" s="13"/>
      <c r="K210" s="13"/>
      <c r="L210" s="13"/>
      <c r="M210" s="13"/>
    </row>
    <row r="211" spans="3:13" ht="16.5" thickBot="1">
      <c r="C211" s="328" t="s">
        <v>510</v>
      </c>
      <c r="D211" s="329"/>
      <c r="E211" s="330">
        <v>30</v>
      </c>
      <c r="G211" s="293"/>
      <c r="I211" s="212"/>
      <c r="J211" s="13"/>
      <c r="K211" s="13"/>
      <c r="L211" s="13"/>
      <c r="M211" s="13"/>
    </row>
    <row r="212" spans="5:13" ht="15.75">
      <c r="E212" s="211"/>
      <c r="I212" s="91"/>
      <c r="J212" s="13"/>
      <c r="K212" s="13"/>
      <c r="L212" s="13"/>
      <c r="M212" s="13"/>
    </row>
    <row r="213" spans="3:24" ht="18.75" thickBot="1">
      <c r="C213" s="167" t="s">
        <v>5</v>
      </c>
      <c r="D213" s="213"/>
      <c r="E213" s="168">
        <f>E205*64.73</f>
        <v>2330.28</v>
      </c>
      <c r="F213" s="3" t="s">
        <v>11</v>
      </c>
      <c r="I213" s="91"/>
      <c r="J213" s="13"/>
      <c r="K213" s="13"/>
      <c r="L213" s="13"/>
      <c r="M213" s="13"/>
      <c r="X213" s="34"/>
    </row>
    <row r="214" spans="3:24" ht="18">
      <c r="C214" s="291"/>
      <c r="D214" s="407"/>
      <c r="E214" s="362"/>
      <c r="I214" s="91"/>
      <c r="J214" s="13"/>
      <c r="K214" s="13"/>
      <c r="L214" s="13"/>
      <c r="M214" s="13"/>
      <c r="X214" s="34"/>
    </row>
    <row r="215" spans="3:13" ht="18.75" thickBot="1">
      <c r="C215" s="291"/>
      <c r="D215" s="291"/>
      <c r="E215" s="408" t="s">
        <v>567</v>
      </c>
      <c r="F215" s="363"/>
      <c r="G215" s="19"/>
      <c r="H215" s="364"/>
      <c r="J215" s="13"/>
      <c r="K215" s="13"/>
      <c r="L215" s="13"/>
      <c r="M215" s="13"/>
    </row>
    <row r="216" spans="3:13" ht="19.5" thickBot="1" thickTop="1">
      <c r="C216" s="365" t="s">
        <v>566</v>
      </c>
      <c r="D216" s="366"/>
      <c r="E216" s="367">
        <v>0</v>
      </c>
      <c r="G216" s="19"/>
      <c r="H216" s="364"/>
      <c r="J216" s="13"/>
      <c r="K216" s="13"/>
      <c r="L216" s="13"/>
      <c r="M216" s="13"/>
    </row>
    <row r="217" spans="3:13" ht="18.75" thickTop="1">
      <c r="C217" s="291"/>
      <c r="D217" s="291"/>
      <c r="E217" s="363" t="s">
        <v>569</v>
      </c>
      <c r="F217" s="363"/>
      <c r="G217" s="19"/>
      <c r="H217" s="364"/>
      <c r="J217" s="13"/>
      <c r="K217" s="13"/>
      <c r="L217" s="13"/>
      <c r="M217" s="13"/>
    </row>
    <row r="218" spans="3:13" ht="18.75" thickBot="1">
      <c r="C218" s="291"/>
      <c r="D218" s="291"/>
      <c r="E218" s="363"/>
      <c r="F218" s="363"/>
      <c r="G218" s="19"/>
      <c r="H218" s="364"/>
      <c r="J218" s="13"/>
      <c r="K218" s="13"/>
      <c r="L218" s="13"/>
      <c r="M218" s="13"/>
    </row>
    <row r="219" spans="2:13" ht="18">
      <c r="B219" s="371" t="s">
        <v>541</v>
      </c>
      <c r="C219" s="372" t="s">
        <v>539</v>
      </c>
      <c r="D219" s="373"/>
      <c r="E219" s="381">
        <f>G240+G241+G242+G243+G246+G247</f>
        <v>0</v>
      </c>
      <c r="F219" s="363"/>
      <c r="G219" s="19"/>
      <c r="H219" s="364"/>
      <c r="J219" s="13"/>
      <c r="K219" s="13"/>
      <c r="L219" s="13"/>
      <c r="M219" s="13"/>
    </row>
    <row r="220" spans="2:13" ht="18">
      <c r="B220" s="374" t="s">
        <v>542</v>
      </c>
      <c r="C220" s="370" t="s">
        <v>540</v>
      </c>
      <c r="D220" s="369"/>
      <c r="E220" s="382">
        <f>SUM(G244:G245)</f>
        <v>0</v>
      </c>
      <c r="F220" s="363"/>
      <c r="G220" s="19"/>
      <c r="H220" s="364"/>
      <c r="J220" s="13"/>
      <c r="K220" s="13"/>
      <c r="L220" s="13"/>
      <c r="M220" s="13"/>
    </row>
    <row r="221" spans="6:13" ht="15.75">
      <c r="F221" s="363"/>
      <c r="G221" s="19"/>
      <c r="H221" s="364"/>
      <c r="J221" s="13"/>
      <c r="K221" s="13"/>
      <c r="L221" s="13"/>
      <c r="M221" s="13"/>
    </row>
    <row r="222" spans="2:13" ht="15.75">
      <c r="B222" s="3" t="s">
        <v>561</v>
      </c>
      <c r="F222" s="363"/>
      <c r="G222" s="19"/>
      <c r="H222" s="364"/>
      <c r="J222" s="13"/>
      <c r="K222" s="13"/>
      <c r="L222" s="13"/>
      <c r="M222" s="13"/>
    </row>
    <row r="223" spans="3:13" ht="18.75" thickBot="1">
      <c r="C223" s="291"/>
      <c r="D223" s="291"/>
      <c r="E223" s="408" t="s">
        <v>568</v>
      </c>
      <c r="F223" s="363"/>
      <c r="G223" s="19"/>
      <c r="H223" s="364"/>
      <c r="J223" s="13"/>
      <c r="K223" s="13"/>
      <c r="L223" s="13"/>
      <c r="M223" s="13"/>
    </row>
    <row r="224" spans="3:13" ht="19.5" thickBot="1" thickTop="1">
      <c r="C224" s="365" t="s">
        <v>545</v>
      </c>
      <c r="D224" s="366"/>
      <c r="E224" s="367">
        <v>0</v>
      </c>
      <c r="F224" s="363"/>
      <c r="G224" s="19"/>
      <c r="H224" s="364"/>
      <c r="J224" s="13"/>
      <c r="K224" s="13"/>
      <c r="L224" s="13"/>
      <c r="M224" s="13"/>
    </row>
    <row r="225" spans="3:13" ht="19.5" thickBot="1" thickTop="1">
      <c r="C225" s="365" t="s">
        <v>546</v>
      </c>
      <c r="D225" s="366"/>
      <c r="E225" s="379">
        <f>LOOKUP(diaspresentmed,presdias,presporc)</f>
        <v>0</v>
      </c>
      <c r="F225" s="363"/>
      <c r="G225" s="19"/>
      <c r="H225" s="364"/>
      <c r="J225" s="13"/>
      <c r="K225" s="13"/>
      <c r="L225" s="13"/>
      <c r="M225" s="13"/>
    </row>
    <row r="226" spans="3:13" ht="18.75" thickTop="1">
      <c r="C226" s="291"/>
      <c r="D226" s="291"/>
      <c r="E226" s="362"/>
      <c r="F226" s="363"/>
      <c r="G226" s="19"/>
      <c r="H226" s="364"/>
      <c r="J226" s="13"/>
      <c r="K226" s="13"/>
      <c r="L226" s="13"/>
      <c r="M226" s="13"/>
    </row>
    <row r="227" spans="2:13" ht="18.75" thickBot="1">
      <c r="B227" s="375" t="s">
        <v>543</v>
      </c>
      <c r="C227" s="376" t="s">
        <v>544</v>
      </c>
      <c r="D227" s="377"/>
      <c r="E227" s="380">
        <f>E246*E225</f>
        <v>0</v>
      </c>
      <c r="F227" s="363"/>
      <c r="G227" s="19"/>
      <c r="H227" s="364"/>
      <c r="J227" s="13"/>
      <c r="K227" s="13"/>
      <c r="L227" s="13"/>
      <c r="M227" s="13"/>
    </row>
    <row r="228" spans="2:13" ht="18">
      <c r="B228" s="368"/>
      <c r="C228" s="368"/>
      <c r="D228" s="291"/>
      <c r="E228" s="362"/>
      <c r="F228" s="363"/>
      <c r="G228" s="19"/>
      <c r="H228" s="364"/>
      <c r="J228" s="13"/>
      <c r="K228" s="13"/>
      <c r="L228" s="13"/>
      <c r="M228" s="13"/>
    </row>
    <row r="229" spans="2:13" ht="18">
      <c r="B229" s="368" t="s">
        <v>562</v>
      </c>
      <c r="C229" s="368"/>
      <c r="D229" s="291"/>
      <c r="E229" s="362"/>
      <c r="F229" s="363"/>
      <c r="G229" s="19"/>
      <c r="H229" s="364"/>
      <c r="J229" s="13"/>
      <c r="K229" s="13"/>
      <c r="L229" s="13"/>
      <c r="M229" s="13"/>
    </row>
    <row r="230" spans="2:13" ht="18.75" thickBot="1">
      <c r="B230" s="368"/>
      <c r="C230" s="368"/>
      <c r="D230" s="291"/>
      <c r="E230" s="362"/>
      <c r="F230" s="398" t="s">
        <v>547</v>
      </c>
      <c r="G230" s="19"/>
      <c r="H230" s="364"/>
      <c r="J230" s="13"/>
      <c r="K230" s="13"/>
      <c r="L230" s="13"/>
      <c r="M230" s="13"/>
    </row>
    <row r="231" spans="3:13" ht="18.75" thickBot="1">
      <c r="C231" s="399" t="s">
        <v>392</v>
      </c>
      <c r="D231" s="400" t="s">
        <v>413</v>
      </c>
      <c r="E231" s="381">
        <f>-F251*(30*E205/7-diasdescmed)/(30*E205/7)</f>
        <v>450.413887488</v>
      </c>
      <c r="F231" s="44">
        <f>-F251-E231</f>
        <v>0</v>
      </c>
      <c r="G231" s="19"/>
      <c r="H231" s="364"/>
      <c r="J231" s="13"/>
      <c r="K231" s="13"/>
      <c r="L231" s="13"/>
      <c r="M231" s="13"/>
    </row>
    <row r="232" spans="3:13" ht="18.75" thickBot="1">
      <c r="C232" s="401" t="s">
        <v>393</v>
      </c>
      <c r="D232" s="94" t="s">
        <v>410</v>
      </c>
      <c r="E232" s="381">
        <f>-F252*(30*E205/7-diasdescmed)/(30*E205/7)</f>
        <v>16.890520780800003</v>
      </c>
      <c r="F232" s="44">
        <f>-F252-E232</f>
        <v>0</v>
      </c>
      <c r="G232" s="19"/>
      <c r="H232" s="364"/>
      <c r="J232" s="13"/>
      <c r="K232" s="13"/>
      <c r="L232" s="13"/>
      <c r="M232" s="13"/>
    </row>
    <row r="233" spans="3:13" ht="18.75" thickBot="1">
      <c r="C233" s="402" t="s">
        <v>394</v>
      </c>
      <c r="D233" s="403" t="s">
        <v>412</v>
      </c>
      <c r="E233" s="381">
        <f>-F253*(30*E205/7-diasdescmed)/(30*E205/7)</f>
        <v>84.452603904</v>
      </c>
      <c r="F233" s="44">
        <f>-F253-E233</f>
        <v>0</v>
      </c>
      <c r="G233" s="19"/>
      <c r="H233" s="364"/>
      <c r="J233" s="13"/>
      <c r="K233" s="13"/>
      <c r="L233" s="13"/>
      <c r="M233" s="13"/>
    </row>
    <row r="234" spans="2:13" ht="18">
      <c r="B234" s="368"/>
      <c r="C234" s="368"/>
      <c r="D234" s="291"/>
      <c r="E234" s="362"/>
      <c r="F234" s="363"/>
      <c r="G234" s="19"/>
      <c r="H234" s="364"/>
      <c r="J234" s="13"/>
      <c r="K234" s="13"/>
      <c r="L234" s="13"/>
      <c r="M234" s="13"/>
    </row>
    <row r="235" spans="2:13" ht="18.75" thickBot="1">
      <c r="B235" s="368"/>
      <c r="C235" s="368" t="s">
        <v>563</v>
      </c>
      <c r="D235" s="291"/>
      <c r="E235" s="362"/>
      <c r="F235" s="363"/>
      <c r="G235" s="19"/>
      <c r="H235" s="364"/>
      <c r="J235" s="13"/>
      <c r="K235" s="13"/>
      <c r="L235" s="13"/>
      <c r="M235" s="13"/>
    </row>
    <row r="236" spans="2:13" ht="18.75" thickBot="1">
      <c r="B236" s="368"/>
      <c r="C236" s="404" t="s">
        <v>548</v>
      </c>
      <c r="D236" s="405"/>
      <c r="E236" s="406">
        <f>E219+E220+E227-F231-F232-F233</f>
        <v>0</v>
      </c>
      <c r="F236" s="363"/>
      <c r="G236" s="19"/>
      <c r="H236" s="364"/>
      <c r="J236" s="13"/>
      <c r="K236" s="13"/>
      <c r="L236" s="13"/>
      <c r="M236" s="13"/>
    </row>
    <row r="237" spans="3:13" ht="18">
      <c r="C237" s="291"/>
      <c r="D237" s="291"/>
      <c r="E237" s="362"/>
      <c r="F237" s="363"/>
      <c r="G237" s="19">
        <f>30/7*30</f>
        <v>128.57142857142856</v>
      </c>
      <c r="H237" s="364"/>
      <c r="J237" s="13"/>
      <c r="K237" s="13"/>
      <c r="L237" s="13"/>
      <c r="M237" s="13"/>
    </row>
    <row r="238" spans="2:6" ht="18.75" thickBot="1">
      <c r="B238" s="13"/>
      <c r="C238" s="291" t="s">
        <v>570</v>
      </c>
      <c r="D238" s="13"/>
      <c r="E238" s="13"/>
      <c r="F238" s="13"/>
    </row>
    <row r="239" spans="2:9" ht="13.5" thickBot="1">
      <c r="B239" s="185" t="s">
        <v>452</v>
      </c>
      <c r="C239" s="261" t="s">
        <v>451</v>
      </c>
      <c r="D239" s="261" t="s">
        <v>407</v>
      </c>
      <c r="E239" s="261" t="s">
        <v>408</v>
      </c>
      <c r="F239" s="262" t="s">
        <v>409</v>
      </c>
      <c r="G239" s="27"/>
      <c r="H239" s="27"/>
      <c r="I239" s="19"/>
    </row>
    <row r="240" spans="2:9" ht="12.75">
      <c r="B240" s="263" t="s">
        <v>418</v>
      </c>
      <c r="C240" s="187">
        <f>Q205</f>
        <v>0</v>
      </c>
      <c r="D240" s="187" t="s">
        <v>419</v>
      </c>
      <c r="E240" s="264">
        <f>indicejul08*E213</f>
        <v>1468.0764000000001</v>
      </c>
      <c r="F240" s="216"/>
      <c r="G240" s="37">
        <f>E240*diasdescmed/E209*7/30</f>
        <v>0</v>
      </c>
      <c r="H240" s="37"/>
      <c r="I240" s="19"/>
    </row>
    <row r="241" spans="2:9" ht="12.75">
      <c r="B241" s="214" t="s">
        <v>383</v>
      </c>
      <c r="C241" s="114">
        <f>E207</f>
        <v>0.6</v>
      </c>
      <c r="D241" s="94" t="s">
        <v>0</v>
      </c>
      <c r="E241" s="215">
        <f>E240*C241</f>
        <v>880.8458400000001</v>
      </c>
      <c r="F241" s="216"/>
      <c r="G241" s="37">
        <f>E241*diasdescmed/E209*7/30</f>
        <v>0</v>
      </c>
      <c r="H241" s="37"/>
      <c r="I241" s="19"/>
    </row>
    <row r="242" spans="2:9" ht="15.75">
      <c r="B242" s="214" t="s">
        <v>388</v>
      </c>
      <c r="C242" s="314">
        <f>E242/9.4</f>
        <v>30</v>
      </c>
      <c r="D242" s="175" t="s">
        <v>415</v>
      </c>
      <c r="E242" s="215">
        <f>IF(E209&gt;30,282,cod06medoct07*E209)</f>
        <v>282</v>
      </c>
      <c r="F242" s="216"/>
      <c r="G242" s="37">
        <f>E242*diasdescmed/E209*7/30</f>
        <v>0</v>
      </c>
      <c r="H242" s="37"/>
      <c r="I242" s="19"/>
    </row>
    <row r="243" spans="2:9" ht="12.75">
      <c r="B243" s="217" t="s">
        <v>389</v>
      </c>
      <c r="C243" s="114">
        <v>0.07</v>
      </c>
      <c r="D243" s="175" t="s">
        <v>420</v>
      </c>
      <c r="E243" s="215">
        <f>E242*0.07</f>
        <v>19.740000000000002</v>
      </c>
      <c r="F243" s="216"/>
      <c r="G243" s="37">
        <f>E243*diasdescmed/E209*7/30</f>
        <v>0</v>
      </c>
      <c r="H243" s="37"/>
      <c r="I243" s="19"/>
    </row>
    <row r="244" spans="2:9" ht="15.75">
      <c r="B244" s="218" t="s">
        <v>390</v>
      </c>
      <c r="C244" s="358">
        <f>E244/7.3333</f>
        <v>30</v>
      </c>
      <c r="D244" s="94" t="s">
        <v>402</v>
      </c>
      <c r="E244" s="215">
        <f>IF(E210*7.3333&gt;220,220,E210*7.3333)</f>
        <v>219.99900000000002</v>
      </c>
      <c r="F244" s="216"/>
      <c r="G244" s="37">
        <f>E244*diasdescmed/E209*7/30</f>
        <v>0</v>
      </c>
      <c r="H244" s="37"/>
      <c r="I244" s="19"/>
    </row>
    <row r="245" spans="2:9" ht="15.75">
      <c r="B245" s="214" t="s">
        <v>391</v>
      </c>
      <c r="C245" s="358">
        <f>E245/6.6666</f>
        <v>30</v>
      </c>
      <c r="D245" s="94" t="s">
        <v>421</v>
      </c>
      <c r="E245" s="215">
        <f>IF(E211*6.6666&gt;200,200,E211*6.6666)</f>
        <v>199.998</v>
      </c>
      <c r="F245" s="219"/>
      <c r="G245" s="37">
        <f>E245*diasdescmed/E209*7/30</f>
        <v>0</v>
      </c>
      <c r="H245" s="37"/>
      <c r="I245" s="19"/>
    </row>
    <row r="246" spans="2:9" ht="12.75">
      <c r="B246" s="214" t="s">
        <v>386</v>
      </c>
      <c r="C246" s="114">
        <v>0.07</v>
      </c>
      <c r="D246" s="114" t="s">
        <v>417</v>
      </c>
      <c r="E246" s="215">
        <f>(E240+E241)*C246</f>
        <v>164.42455680000003</v>
      </c>
      <c r="F246" s="216"/>
      <c r="G246" s="37">
        <f>E246*diasdescmed/E209*7/30</f>
        <v>0</v>
      </c>
      <c r="H246" s="37"/>
      <c r="I246" s="19"/>
    </row>
    <row r="247" spans="1:9" ht="15.75">
      <c r="A247" s="6"/>
      <c r="B247" s="214" t="s">
        <v>380</v>
      </c>
      <c r="C247" s="361">
        <v>0</v>
      </c>
      <c r="D247" s="114" t="s">
        <v>456</v>
      </c>
      <c r="E247" s="290">
        <f>E240*C247</f>
        <v>0</v>
      </c>
      <c r="F247" s="216"/>
      <c r="G247" s="37">
        <f>E247*diasdescmed/E209*7/30</f>
        <v>0</v>
      </c>
      <c r="H247" s="37"/>
      <c r="I247" s="19"/>
    </row>
    <row r="248" spans="2:9" ht="16.5" thickBot="1">
      <c r="B248" s="221" t="s">
        <v>427</v>
      </c>
      <c r="C248" s="131"/>
      <c r="D248" s="131"/>
      <c r="E248" s="297">
        <v>0</v>
      </c>
      <c r="F248" s="216"/>
      <c r="G248" s="37">
        <f>E248*diasdescmed/E209*7/30</f>
        <v>0</v>
      </c>
      <c r="H248" s="37"/>
      <c r="I248" s="19"/>
    </row>
    <row r="249" spans="2:9" ht="16.5" thickBot="1">
      <c r="B249" s="222"/>
      <c r="C249" s="204" t="s">
        <v>12</v>
      </c>
      <c r="D249" s="223"/>
      <c r="E249" s="190">
        <f>SUM(E240:E248)</f>
        <v>3235.0837968000005</v>
      </c>
      <c r="F249" s="224"/>
      <c r="G249" s="37">
        <f>E249*diasdescmed/E209*7/30</f>
        <v>0</v>
      </c>
      <c r="H249" s="37"/>
      <c r="I249" s="19"/>
    </row>
    <row r="250" spans="2:9" ht="15.75">
      <c r="B250" s="220" t="s">
        <v>422</v>
      </c>
      <c r="C250" s="225"/>
      <c r="D250" s="193" t="s">
        <v>423</v>
      </c>
      <c r="E250" s="313">
        <f>E227</f>
        <v>0</v>
      </c>
      <c r="F250" s="199">
        <f>-E250</f>
        <v>0</v>
      </c>
      <c r="G250" s="37"/>
      <c r="H250" s="35"/>
      <c r="I250" s="19"/>
    </row>
    <row r="251" spans="2:9" ht="12.75">
      <c r="B251" s="94">
        <v>502</v>
      </c>
      <c r="C251" s="226">
        <v>0.16</v>
      </c>
      <c r="D251" s="196" t="s">
        <v>426</v>
      </c>
      <c r="E251" s="196"/>
      <c r="F251" s="227">
        <f>-(E240+E241+E246+E242+E243+F250)*C251</f>
        <v>-450.41388748800006</v>
      </c>
      <c r="G251" s="37"/>
      <c r="H251" s="35"/>
      <c r="I251" s="19"/>
    </row>
    <row r="252" spans="2:9" ht="15" customHeight="1">
      <c r="B252" s="94">
        <v>504</v>
      </c>
      <c r="C252" s="195">
        <v>0.006</v>
      </c>
      <c r="D252" s="173" t="s">
        <v>425</v>
      </c>
      <c r="E252" s="173"/>
      <c r="F252" s="227">
        <f>-(E240+E241+E246+E242+E243+F250)*C252</f>
        <v>-16.890520780800003</v>
      </c>
      <c r="G252" s="37"/>
      <c r="H252" s="35"/>
      <c r="I252" s="19"/>
    </row>
    <row r="253" spans="2:9" ht="12.75">
      <c r="B253" s="94">
        <v>505</v>
      </c>
      <c r="C253" s="114">
        <v>0.03</v>
      </c>
      <c r="D253" s="196" t="s">
        <v>424</v>
      </c>
      <c r="E253" s="196"/>
      <c r="F253" s="227">
        <f>-(E240+E241+E246+E242+E243+F250)*C253</f>
        <v>-84.452603904</v>
      </c>
      <c r="G253" s="37"/>
      <c r="H253" s="35"/>
      <c r="I253" s="19"/>
    </row>
    <row r="254" spans="2:9" ht="16.5" thickBot="1">
      <c r="B254" s="228" t="s">
        <v>2</v>
      </c>
      <c r="C254" s="300">
        <v>0</v>
      </c>
      <c r="D254" s="131"/>
      <c r="E254" s="131"/>
      <c r="F254" s="229">
        <f>-(E241+E240+E246+E242+E243+F250)*C254</f>
        <v>0</v>
      </c>
      <c r="G254" s="37"/>
      <c r="H254" s="35"/>
      <c r="I254" s="19"/>
    </row>
    <row r="255" spans="2:9" ht="16.5" thickBot="1">
      <c r="B255" s="162"/>
      <c r="C255" s="230"/>
      <c r="D255" s="204" t="s">
        <v>3</v>
      </c>
      <c r="E255" s="231"/>
      <c r="F255" s="232">
        <f>SUM(F251:F254)</f>
        <v>-551.7570121728</v>
      </c>
      <c r="G255" s="35"/>
      <c r="H255" s="35"/>
      <c r="I255" s="19"/>
    </row>
    <row r="256" spans="1:5" ht="13.5" thickBot="1">
      <c r="A256" s="19"/>
      <c r="B256" s="303"/>
      <c r="C256" s="131"/>
      <c r="D256" s="216"/>
      <c r="E256" s="216"/>
    </row>
    <row r="257" spans="2:6" ht="16.5" thickBot="1">
      <c r="B257" s="39"/>
      <c r="C257" s="204" t="s">
        <v>4</v>
      </c>
      <c r="D257" s="205"/>
      <c r="E257" s="233">
        <f>E249+F255</f>
        <v>2683.3267846272006</v>
      </c>
      <c r="F257" s="6"/>
    </row>
    <row r="258" ht="12.75"/>
    <row r="259" ht="12.75"/>
    <row r="260" spans="2:6" ht="15.75">
      <c r="B260" s="39"/>
      <c r="C260" s="207"/>
      <c r="D260" s="20"/>
      <c r="E260" s="6" t="s">
        <v>448</v>
      </c>
      <c r="F260" s="206"/>
    </row>
    <row r="261" spans="2:6" ht="16.5" thickBot="1">
      <c r="B261" s="241" t="s">
        <v>447</v>
      </c>
      <c r="E261" s="6">
        <v>502</v>
      </c>
      <c r="F261" s="244">
        <f>-(E240+E241+E246+E242+E243+F250+D262)*C251</f>
        <v>-675.6208312320001</v>
      </c>
    </row>
    <row r="262" spans="2:6" ht="16.5" thickBot="1">
      <c r="B262" s="204" t="s">
        <v>445</v>
      </c>
      <c r="C262" s="129"/>
      <c r="D262" s="245">
        <f>(E240+E241+E242+E243+E246+E247)*0.5</f>
        <v>1407.5433984000001</v>
      </c>
      <c r="E262" s="6">
        <v>504</v>
      </c>
      <c r="F262" s="244">
        <f>-(E240+E241+E246+E242+E243+F250+D262)*C252</f>
        <v>-25.335781171200004</v>
      </c>
    </row>
    <row r="263" spans="2:6" ht="16.5" thickBot="1">
      <c r="B263" s="204" t="s">
        <v>446</v>
      </c>
      <c r="C263" s="129"/>
      <c r="D263" s="294">
        <v>0</v>
      </c>
      <c r="E263" s="6">
        <v>505</v>
      </c>
      <c r="F263" s="244">
        <f>-(E240+E241+E246+E242+E243+F250+D262)*C253</f>
        <v>-126.678905856</v>
      </c>
    </row>
    <row r="264" spans="2:6" ht="16.5" thickBot="1">
      <c r="B264" s="39"/>
      <c r="C264" s="207"/>
      <c r="D264" s="20"/>
      <c r="E264" s="206"/>
      <c r="F264" s="206"/>
    </row>
    <row r="265" spans="2:6" ht="16.5" thickBot="1">
      <c r="B265" s="39"/>
      <c r="C265" s="207"/>
      <c r="D265" s="248" t="s">
        <v>449</v>
      </c>
      <c r="E265" s="208"/>
      <c r="F265" s="243">
        <f>E249+D262+D263+F261+F262+F263</f>
        <v>3814.991676940801</v>
      </c>
    </row>
    <row r="266" spans="2:6" ht="15.75">
      <c r="B266" s="39"/>
      <c r="C266" s="207"/>
      <c r="D266" s="248"/>
      <c r="E266" s="208"/>
      <c r="F266" s="206"/>
    </row>
    <row r="267" spans="3:6" ht="15.75">
      <c r="C267" s="20"/>
      <c r="D267" s="304" t="s">
        <v>458</v>
      </c>
      <c r="E267" s="305"/>
      <c r="F267" s="306">
        <f>F265-E257</f>
        <v>1131.6648923136004</v>
      </c>
    </row>
    <row r="268" spans="6:7" ht="12.75">
      <c r="F268" s="34"/>
      <c r="G268" s="34"/>
    </row>
    <row r="269" spans="8:13" s="415" customFormat="1" ht="22.5" customHeight="1">
      <c r="H269" s="419"/>
      <c r="J269" s="420"/>
      <c r="K269" s="417"/>
      <c r="L269" s="421"/>
      <c r="M269" s="417"/>
    </row>
    <row r="270" spans="8:13" ht="12.75">
      <c r="H270" s="210"/>
      <c r="I270" s="234"/>
      <c r="J270" s="13"/>
      <c r="K270" s="13"/>
      <c r="L270" s="13"/>
      <c r="M270" s="13"/>
    </row>
    <row r="271" spans="4:13" ht="23.25">
      <c r="D271" s="320" t="s">
        <v>16</v>
      </c>
      <c r="H271" s="210"/>
      <c r="I271" s="234"/>
      <c r="J271" s="13"/>
      <c r="K271" s="13"/>
      <c r="L271" s="13"/>
      <c r="M271" s="13"/>
    </row>
    <row r="272" spans="9:13" ht="13.5" thickBot="1">
      <c r="I272" s="234"/>
      <c r="J272" s="13"/>
      <c r="K272" s="13"/>
      <c r="L272" s="209"/>
      <c r="M272" s="13"/>
    </row>
    <row r="273" spans="3:13" ht="16.5" thickBot="1">
      <c r="C273" s="204" t="s">
        <v>10</v>
      </c>
      <c r="D273" s="82"/>
      <c r="E273" s="1">
        <v>30</v>
      </c>
      <c r="H273" s="210"/>
      <c r="J273" s="27"/>
      <c r="K273" s="13"/>
      <c r="L273" s="13"/>
      <c r="M273" s="13"/>
    </row>
    <row r="274" spans="3:13" ht="16.5" thickBot="1">
      <c r="C274" s="204" t="s">
        <v>432</v>
      </c>
      <c r="D274" s="82"/>
      <c r="E274" s="2">
        <v>20</v>
      </c>
      <c r="I274" s="210"/>
      <c r="J274" s="13"/>
      <c r="K274" s="13"/>
      <c r="L274" s="13"/>
      <c r="M274" s="13"/>
    </row>
    <row r="275" spans="5:24" ht="16.5" thickBot="1">
      <c r="E275" s="235">
        <f>LOOKUP(E274,I80:I91,J80:J91)</f>
        <v>1</v>
      </c>
      <c r="H275" s="295"/>
      <c r="I275" s="212"/>
      <c r="K275" s="13"/>
      <c r="L275" s="13"/>
      <c r="M275" s="13"/>
      <c r="X275" s="34"/>
    </row>
    <row r="276" spans="3:24" ht="18.75" thickBot="1">
      <c r="C276" s="322" t="s">
        <v>507</v>
      </c>
      <c r="D276" s="323"/>
      <c r="E276" s="324"/>
      <c r="H276" s="295"/>
      <c r="I276" s="212"/>
      <c r="K276" s="13"/>
      <c r="L276" s="13"/>
      <c r="M276" s="13"/>
      <c r="X276" s="34"/>
    </row>
    <row r="277" spans="3:24" ht="16.5" thickBot="1">
      <c r="C277" s="325" t="s">
        <v>508</v>
      </c>
      <c r="D277" s="326"/>
      <c r="E277" s="327">
        <v>15</v>
      </c>
      <c r="F277" s="331" t="s">
        <v>511</v>
      </c>
      <c r="H277" s="295"/>
      <c r="I277" s="212"/>
      <c r="K277" s="13"/>
      <c r="L277" s="13"/>
      <c r="M277" s="13"/>
      <c r="X277" s="34"/>
    </row>
    <row r="278" spans="3:24" ht="16.5" thickBot="1">
      <c r="C278" s="325" t="s">
        <v>509</v>
      </c>
      <c r="D278" s="326"/>
      <c r="E278" s="327">
        <v>24</v>
      </c>
      <c r="F278" s="331" t="s">
        <v>511</v>
      </c>
      <c r="H278" s="295"/>
      <c r="I278" s="212"/>
      <c r="K278" s="13"/>
      <c r="L278" s="13"/>
      <c r="M278" s="13"/>
      <c r="X278" s="34"/>
    </row>
    <row r="279" spans="3:24" ht="16.5" thickBot="1">
      <c r="C279" s="328" t="s">
        <v>510</v>
      </c>
      <c r="D279" s="329"/>
      <c r="E279" s="330">
        <v>24</v>
      </c>
      <c r="F279" s="331" t="s">
        <v>511</v>
      </c>
      <c r="H279" s="295"/>
      <c r="I279" s="212"/>
      <c r="K279" s="13"/>
      <c r="L279" s="13"/>
      <c r="M279" s="13"/>
      <c r="X279" s="34"/>
    </row>
    <row r="280" spans="8:24" ht="12.75">
      <c r="H280" s="296"/>
      <c r="I280" s="91"/>
      <c r="K280" s="13"/>
      <c r="L280" s="13"/>
      <c r="M280" s="13"/>
      <c r="X280" s="34"/>
    </row>
    <row r="281" spans="3:24" ht="18.75" thickBot="1">
      <c r="C281" s="167" t="s">
        <v>5</v>
      </c>
      <c r="D281" s="213"/>
      <c r="E281" s="168">
        <f>E273*86.9</f>
        <v>2607</v>
      </c>
      <c r="F281" s="3" t="s">
        <v>11</v>
      </c>
      <c r="I281" s="91"/>
      <c r="J281" s="13"/>
      <c r="K281" s="13"/>
      <c r="L281" s="13"/>
      <c r="M281" s="13"/>
      <c r="X281" s="34"/>
    </row>
    <row r="282" spans="3:24" ht="18">
      <c r="C282" s="291"/>
      <c r="D282" s="407"/>
      <c r="E282" s="362"/>
      <c r="I282" s="91"/>
      <c r="J282" s="13"/>
      <c r="K282" s="13"/>
      <c r="L282" s="13"/>
      <c r="M282" s="13"/>
      <c r="X282" s="34"/>
    </row>
    <row r="283" spans="3:13" ht="18.75" thickBot="1">
      <c r="C283" s="291"/>
      <c r="D283" s="291"/>
      <c r="E283" s="408" t="s">
        <v>571</v>
      </c>
      <c r="F283" s="363"/>
      <c r="G283" s="19"/>
      <c r="H283" s="364"/>
      <c r="J283" s="13"/>
      <c r="K283" s="13"/>
      <c r="L283" s="13"/>
      <c r="M283" s="13"/>
    </row>
    <row r="284" spans="3:13" ht="19.5" thickBot="1" thickTop="1">
      <c r="C284" s="365" t="s">
        <v>566</v>
      </c>
      <c r="D284" s="366"/>
      <c r="E284" s="367">
        <v>0</v>
      </c>
      <c r="G284" s="19"/>
      <c r="H284" s="364"/>
      <c r="J284" s="13"/>
      <c r="K284" s="13"/>
      <c r="L284" s="13"/>
      <c r="M284" s="13"/>
    </row>
    <row r="285" spans="3:13" ht="18.75" thickTop="1">
      <c r="C285" s="291"/>
      <c r="D285" s="291"/>
      <c r="E285" s="363" t="s">
        <v>569</v>
      </c>
      <c r="F285" s="363"/>
      <c r="G285" s="19"/>
      <c r="H285" s="364"/>
      <c r="J285" s="13"/>
      <c r="K285" s="13"/>
      <c r="L285" s="13"/>
      <c r="M285" s="13"/>
    </row>
    <row r="286" spans="3:13" ht="18.75" thickBot="1">
      <c r="C286" s="291"/>
      <c r="D286" s="291"/>
      <c r="E286" s="363"/>
      <c r="F286" s="363"/>
      <c r="G286" s="19"/>
      <c r="H286" s="364"/>
      <c r="J286" s="13"/>
      <c r="K286" s="13"/>
      <c r="L286" s="13"/>
      <c r="M286" s="13"/>
    </row>
    <row r="287" spans="2:13" ht="18">
      <c r="B287" s="371" t="s">
        <v>541</v>
      </c>
      <c r="C287" s="372" t="s">
        <v>539</v>
      </c>
      <c r="D287" s="373"/>
      <c r="E287" s="381">
        <f>G309+G310+G311+G312+G315</f>
        <v>0</v>
      </c>
      <c r="F287" s="363"/>
      <c r="G287" s="19"/>
      <c r="H287" s="364"/>
      <c r="J287" s="13"/>
      <c r="K287" s="13"/>
      <c r="L287" s="13"/>
      <c r="M287" s="13"/>
    </row>
    <row r="288" spans="2:13" ht="18">
      <c r="B288" s="374" t="s">
        <v>542</v>
      </c>
      <c r="C288" s="370" t="s">
        <v>540</v>
      </c>
      <c r="D288" s="369"/>
      <c r="E288" s="382">
        <f>SUM(G313:G314)</f>
        <v>0</v>
      </c>
      <c r="F288" s="363"/>
      <c r="G288" s="19"/>
      <c r="H288" s="364"/>
      <c r="J288" s="13"/>
      <c r="K288" s="13"/>
      <c r="L288" s="13"/>
      <c r="M288" s="13"/>
    </row>
    <row r="289" spans="6:13" ht="15.75">
      <c r="F289" s="363"/>
      <c r="G289" s="19"/>
      <c r="H289" s="364"/>
      <c r="J289" s="13"/>
      <c r="K289" s="13"/>
      <c r="L289" s="13"/>
      <c r="M289" s="13"/>
    </row>
    <row r="290" spans="2:13" ht="15.75">
      <c r="B290" s="3" t="s">
        <v>561</v>
      </c>
      <c r="F290" s="363"/>
      <c r="G290" s="19"/>
      <c r="H290" s="364"/>
      <c r="J290" s="13"/>
      <c r="K290" s="13"/>
      <c r="L290" s="13"/>
      <c r="M290" s="13"/>
    </row>
    <row r="291" spans="3:13" ht="18.75" thickBot="1">
      <c r="C291" s="291"/>
      <c r="D291" s="291"/>
      <c r="E291" s="408" t="s">
        <v>568</v>
      </c>
      <c r="F291" s="363"/>
      <c r="G291" s="19"/>
      <c r="H291" s="364"/>
      <c r="J291" s="13"/>
      <c r="K291" s="13"/>
      <c r="L291" s="13"/>
      <c r="M291" s="13"/>
    </row>
    <row r="292" spans="3:13" ht="19.5" thickBot="1" thickTop="1">
      <c r="C292" s="365" t="s">
        <v>545</v>
      </c>
      <c r="D292" s="366"/>
      <c r="E292" s="367">
        <v>0</v>
      </c>
      <c r="F292" s="363"/>
      <c r="G292" s="19"/>
      <c r="H292" s="364"/>
      <c r="J292" s="13"/>
      <c r="K292" s="13"/>
      <c r="L292" s="13"/>
      <c r="M292" s="13"/>
    </row>
    <row r="293" spans="3:13" ht="19.5" thickBot="1" thickTop="1">
      <c r="C293" s="365" t="s">
        <v>546</v>
      </c>
      <c r="D293" s="366"/>
      <c r="E293" s="379">
        <f>LOOKUP(diaspresentsup,presdias,presporc)</f>
        <v>0</v>
      </c>
      <c r="F293" s="363"/>
      <c r="G293" s="19"/>
      <c r="H293" s="364"/>
      <c r="J293" s="13"/>
      <c r="K293" s="13"/>
      <c r="L293" s="13"/>
      <c r="M293" s="13"/>
    </row>
    <row r="294" spans="3:13" ht="18.75" thickTop="1">
      <c r="C294" s="291"/>
      <c r="D294" s="291"/>
      <c r="E294" s="362"/>
      <c r="F294" s="363"/>
      <c r="G294" s="19"/>
      <c r="H294" s="364"/>
      <c r="J294" s="13"/>
      <c r="K294" s="13"/>
      <c r="L294" s="13"/>
      <c r="M294" s="13"/>
    </row>
    <row r="295" spans="2:13" ht="18.75" thickBot="1">
      <c r="B295" s="375" t="s">
        <v>543</v>
      </c>
      <c r="C295" s="376" t="s">
        <v>544</v>
      </c>
      <c r="D295" s="377"/>
      <c r="E295" s="380">
        <f>E315*E293</f>
        <v>0</v>
      </c>
      <c r="F295" s="363"/>
      <c r="G295" s="19"/>
      <c r="H295" s="364"/>
      <c r="J295" s="13"/>
      <c r="K295" s="13"/>
      <c r="L295" s="13"/>
      <c r="M295" s="13"/>
    </row>
    <row r="296" spans="2:13" ht="18">
      <c r="B296" s="368"/>
      <c r="C296" s="368"/>
      <c r="D296" s="291"/>
      <c r="E296" s="362"/>
      <c r="F296" s="363"/>
      <c r="G296" s="19"/>
      <c r="H296" s="364"/>
      <c r="J296" s="13"/>
      <c r="K296" s="13"/>
      <c r="L296" s="13"/>
      <c r="M296" s="13"/>
    </row>
    <row r="297" spans="2:13" ht="18">
      <c r="B297" s="368" t="s">
        <v>562</v>
      </c>
      <c r="C297" s="368"/>
      <c r="D297" s="291"/>
      <c r="E297" s="362"/>
      <c r="F297" s="363"/>
      <c r="G297" s="19"/>
      <c r="H297" s="364"/>
      <c r="J297" s="13"/>
      <c r="K297" s="13"/>
      <c r="L297" s="13"/>
      <c r="M297" s="13"/>
    </row>
    <row r="298" spans="2:13" ht="18.75" thickBot="1">
      <c r="B298" s="368"/>
      <c r="C298" s="368"/>
      <c r="D298" s="291"/>
      <c r="E298" s="362"/>
      <c r="F298" s="398" t="s">
        <v>547</v>
      </c>
      <c r="G298" s="19"/>
      <c r="H298" s="364"/>
      <c r="J298" s="13"/>
      <c r="K298" s="13"/>
      <c r="L298" s="13"/>
      <c r="M298" s="13"/>
    </row>
    <row r="299" spans="3:13" ht="18.75" thickBot="1">
      <c r="C299" s="399" t="s">
        <v>392</v>
      </c>
      <c r="D299" s="400" t="s">
        <v>413</v>
      </c>
      <c r="E299" s="381">
        <f>-F319*(30*E273/7-diasdescsup)/(30*E273/7)</f>
        <v>586.500384</v>
      </c>
      <c r="F299" s="44">
        <f>-F319-E299</f>
        <v>0</v>
      </c>
      <c r="G299" s="19"/>
      <c r="H299" s="364"/>
      <c r="J299" s="13"/>
      <c r="K299" s="13"/>
      <c r="L299" s="13"/>
      <c r="M299" s="13"/>
    </row>
    <row r="300" spans="3:13" ht="18.75" thickBot="1">
      <c r="C300" s="401" t="s">
        <v>393</v>
      </c>
      <c r="D300" s="94" t="s">
        <v>410</v>
      </c>
      <c r="E300" s="381">
        <f>-F320*(30*E273/7-diasdescsup)/(30*E273/7)</f>
        <v>21.993764400000003</v>
      </c>
      <c r="F300" s="44">
        <f>-F320-E300</f>
        <v>0</v>
      </c>
      <c r="G300" s="19"/>
      <c r="H300" s="364"/>
      <c r="J300" s="13"/>
      <c r="K300" s="13"/>
      <c r="L300" s="13"/>
      <c r="M300" s="13"/>
    </row>
    <row r="301" spans="3:13" ht="18.75" thickBot="1">
      <c r="C301" s="402" t="s">
        <v>394</v>
      </c>
      <c r="D301" s="403" t="s">
        <v>412</v>
      </c>
      <c r="E301" s="381">
        <f>-F321*(30*E273/7-diasdescsup)/(30*E273/7)</f>
        <v>109.968822</v>
      </c>
      <c r="F301" s="44">
        <f>-F321-E301</f>
        <v>0</v>
      </c>
      <c r="G301" s="19"/>
      <c r="H301" s="364"/>
      <c r="J301" s="13"/>
      <c r="K301" s="13"/>
      <c r="L301" s="13"/>
      <c r="M301" s="13"/>
    </row>
    <row r="302" spans="2:13" ht="18">
      <c r="B302" s="368"/>
      <c r="C302" s="368"/>
      <c r="D302" s="291"/>
      <c r="E302" s="362"/>
      <c r="F302" s="363"/>
      <c r="G302" s="19"/>
      <c r="H302" s="364"/>
      <c r="J302" s="13"/>
      <c r="K302" s="13"/>
      <c r="L302" s="13"/>
      <c r="M302" s="13"/>
    </row>
    <row r="303" spans="2:13" ht="18.75" thickBot="1">
      <c r="B303" s="368"/>
      <c r="C303" s="368" t="s">
        <v>563</v>
      </c>
      <c r="D303" s="291"/>
      <c r="E303" s="362"/>
      <c r="F303" s="363"/>
      <c r="G303" s="19"/>
      <c r="H303" s="364"/>
      <c r="J303" s="13"/>
      <c r="K303" s="13"/>
      <c r="L303" s="13"/>
      <c r="M303" s="13"/>
    </row>
    <row r="304" spans="2:13" ht="18.75" thickBot="1">
      <c r="B304" s="368"/>
      <c r="C304" s="404" t="s">
        <v>548</v>
      </c>
      <c r="D304" s="405"/>
      <c r="E304" s="406">
        <f>E287+E288+E295-F299-F300-F301</f>
        <v>0</v>
      </c>
      <c r="F304" s="363"/>
      <c r="G304" s="19"/>
      <c r="H304" s="364"/>
      <c r="J304" s="13"/>
      <c r="K304" s="13"/>
      <c r="L304" s="13"/>
      <c r="M304" s="13"/>
    </row>
    <row r="305" spans="3:13" ht="18">
      <c r="C305" s="291"/>
      <c r="D305" s="291"/>
      <c r="E305" s="362"/>
      <c r="F305" s="363"/>
      <c r="G305" s="19"/>
      <c r="H305" s="364"/>
      <c r="J305" s="13"/>
      <c r="K305" s="13"/>
      <c r="L305" s="13"/>
      <c r="M305" s="13"/>
    </row>
    <row r="306" spans="10:24" ht="12.75">
      <c r="J306" s="13"/>
      <c r="K306" s="13"/>
      <c r="L306" s="13"/>
      <c r="M306" s="13"/>
      <c r="X306" s="34"/>
    </row>
    <row r="307" spans="2:6" ht="18.75" thickBot="1">
      <c r="B307" s="13"/>
      <c r="C307" s="359" t="s">
        <v>572</v>
      </c>
      <c r="D307" s="13"/>
      <c r="E307" s="13"/>
      <c r="F307" s="13"/>
    </row>
    <row r="308" spans="2:8" ht="13.5" thickBot="1">
      <c r="B308" s="185" t="s">
        <v>452</v>
      </c>
      <c r="C308" s="261" t="s">
        <v>451</v>
      </c>
      <c r="D308" s="261" t="s">
        <v>407</v>
      </c>
      <c r="E308" s="261" t="s">
        <v>408</v>
      </c>
      <c r="F308" s="262" t="s">
        <v>409</v>
      </c>
      <c r="G308" s="27"/>
      <c r="H308" s="27"/>
    </row>
    <row r="309" spans="2:8" ht="12.75">
      <c r="B309" s="263" t="s">
        <v>418</v>
      </c>
      <c r="C309" s="187">
        <f>Q273</f>
        <v>0</v>
      </c>
      <c r="D309" s="187" t="s">
        <v>419</v>
      </c>
      <c r="E309" s="264">
        <f>indicejul08*E281</f>
        <v>1642.41</v>
      </c>
      <c r="F309" s="216"/>
      <c r="G309" s="37">
        <f>E309*diasdescsup/E273*7/30</f>
        <v>0</v>
      </c>
      <c r="H309" s="37"/>
    </row>
    <row r="310" spans="2:8" ht="12.75">
      <c r="B310" s="214" t="s">
        <v>383</v>
      </c>
      <c r="C310" s="114">
        <f>E275</f>
        <v>1</v>
      </c>
      <c r="D310" s="94" t="s">
        <v>0</v>
      </c>
      <c r="E310" s="215">
        <f>E309*C310</f>
        <v>1642.41</v>
      </c>
      <c r="F310" s="216"/>
      <c r="G310" s="37">
        <f>E310*diasdescsup/E273*7/30</f>
        <v>0</v>
      </c>
      <c r="H310" s="37"/>
    </row>
    <row r="311" spans="2:8" ht="15.75">
      <c r="B311" s="214" t="s">
        <v>388</v>
      </c>
      <c r="C311" s="358">
        <f>E311/9.4</f>
        <v>15</v>
      </c>
      <c r="D311" s="175" t="s">
        <v>415</v>
      </c>
      <c r="E311" s="215">
        <f>IF(E277&gt;15,136.5,cod06supoct07*E277)</f>
        <v>141</v>
      </c>
      <c r="F311" s="216"/>
      <c r="G311" s="37">
        <f>E311*diasdescsup/E273*7/30</f>
        <v>0</v>
      </c>
      <c r="H311" s="37"/>
    </row>
    <row r="312" spans="2:8" ht="12.75">
      <c r="B312" s="217" t="s">
        <v>389</v>
      </c>
      <c r="C312" s="114">
        <v>0.07</v>
      </c>
      <c r="D312" s="175" t="s">
        <v>420</v>
      </c>
      <c r="E312" s="215">
        <f>E311*0.07</f>
        <v>9.870000000000001</v>
      </c>
      <c r="F312" s="216"/>
      <c r="G312" s="37">
        <f>E312*diasdescsup/E273*7/30</f>
        <v>0</v>
      </c>
      <c r="H312" s="37"/>
    </row>
    <row r="313" spans="2:8" ht="15.75">
      <c r="B313" s="218" t="s">
        <v>390</v>
      </c>
      <c r="C313" s="358">
        <f>E313/9.16666</f>
        <v>24</v>
      </c>
      <c r="D313" s="94" t="s">
        <v>402</v>
      </c>
      <c r="E313" s="215">
        <f>IF(E278*9.16666&gt;220,220,E278*9.16666)</f>
        <v>219.99984</v>
      </c>
      <c r="F313" s="216"/>
      <c r="G313" s="37">
        <f>E313*diasdescsup/E273*7/30</f>
        <v>0</v>
      </c>
      <c r="H313" s="37"/>
    </row>
    <row r="314" spans="2:8" ht="15.75">
      <c r="B314" s="214" t="s">
        <v>391</v>
      </c>
      <c r="C314" s="358">
        <f>E314/8.3333</f>
        <v>24</v>
      </c>
      <c r="D314" s="94" t="s">
        <v>421</v>
      </c>
      <c r="E314" s="215">
        <f>IF(E279*8.3333&gt;200,200,E279*8.3333)</f>
        <v>199.99919999999997</v>
      </c>
      <c r="F314" s="219"/>
      <c r="G314" s="37">
        <f>E314*diasdescsup/E273*7/30</f>
        <v>0</v>
      </c>
      <c r="H314" s="37"/>
    </row>
    <row r="315" spans="2:8" ht="12.75">
      <c r="B315" s="214" t="s">
        <v>386</v>
      </c>
      <c r="C315" s="114">
        <v>0.07</v>
      </c>
      <c r="D315" s="114" t="s">
        <v>417</v>
      </c>
      <c r="E315" s="215">
        <f>(E309+E310)*C315</f>
        <v>229.93740000000003</v>
      </c>
      <c r="F315" s="216"/>
      <c r="G315" s="37">
        <f>E315*diasdescsup/E273*7/30</f>
        <v>0</v>
      </c>
      <c r="H315" s="37"/>
    </row>
    <row r="316" spans="2:8" ht="16.5" thickBot="1">
      <c r="B316" s="221" t="s">
        <v>427</v>
      </c>
      <c r="C316" s="131"/>
      <c r="D316" s="131"/>
      <c r="E316" s="297">
        <v>0</v>
      </c>
      <c r="F316" s="216"/>
      <c r="G316" s="37"/>
      <c r="H316" s="37"/>
    </row>
    <row r="317" spans="2:8" ht="16.5" thickBot="1">
      <c r="B317" s="222"/>
      <c r="C317" s="204" t="s">
        <v>12</v>
      </c>
      <c r="D317" s="236"/>
      <c r="E317" s="190">
        <f>SUM(E309:E316)</f>
        <v>4085.62644</v>
      </c>
      <c r="F317" s="224"/>
      <c r="G317" s="37">
        <f>E317*diasdescsup/E273*7/30</f>
        <v>0</v>
      </c>
      <c r="H317" s="37"/>
    </row>
    <row r="318" spans="2:8" ht="15.75">
      <c r="B318" s="220" t="s">
        <v>422</v>
      </c>
      <c r="C318" s="225"/>
      <c r="D318" s="193" t="s">
        <v>423</v>
      </c>
      <c r="E318" s="238">
        <f>E295</f>
        <v>0</v>
      </c>
      <c r="F318" s="199">
        <f>-E318</f>
        <v>0</v>
      </c>
      <c r="G318" s="37">
        <f>E318*diasdescmed/E281*7/30</f>
        <v>0</v>
      </c>
      <c r="H318" s="35"/>
    </row>
    <row r="319" spans="2:8" ht="12.75">
      <c r="B319" s="94">
        <v>502</v>
      </c>
      <c r="C319" s="226">
        <v>0.16</v>
      </c>
      <c r="D319" s="196" t="s">
        <v>426</v>
      </c>
      <c r="E319" s="315"/>
      <c r="F319" s="227">
        <f>-(E309+E310+E315+E311+E312+F318)*C319</f>
        <v>-586.500384</v>
      </c>
      <c r="G319" s="34"/>
      <c r="H319" s="35"/>
    </row>
    <row r="320" spans="2:8" ht="12.75">
      <c r="B320" s="94">
        <v>504</v>
      </c>
      <c r="C320" s="195">
        <v>0.006</v>
      </c>
      <c r="D320" s="173" t="s">
        <v>425</v>
      </c>
      <c r="E320" s="173"/>
      <c r="F320" s="227">
        <f>-(E309+E310+E315+E311+E312+F318)*C320</f>
        <v>-21.993764400000003</v>
      </c>
      <c r="G320" s="34"/>
      <c r="H320" s="35"/>
    </row>
    <row r="321" spans="2:8" ht="12.75">
      <c r="B321" s="94">
        <v>505</v>
      </c>
      <c r="C321" s="114">
        <v>0.03</v>
      </c>
      <c r="D321" s="196" t="s">
        <v>424</v>
      </c>
      <c r="E321" s="196"/>
      <c r="F321" s="227">
        <f>-(E309+E310+E315+E311+E312+F318)*C321</f>
        <v>-109.968822</v>
      </c>
      <c r="G321" s="34"/>
      <c r="H321" s="35"/>
    </row>
    <row r="322" spans="2:8" ht="16.5" thickBot="1">
      <c r="B322" s="228" t="s">
        <v>2</v>
      </c>
      <c r="C322" s="300">
        <v>0</v>
      </c>
      <c r="D322" s="131"/>
      <c r="E322" s="131"/>
      <c r="F322" s="229">
        <f>-(E310+E309+E315+E311+E312+F318)*C322</f>
        <v>0</v>
      </c>
      <c r="G322" s="34"/>
      <c r="H322" s="35"/>
    </row>
    <row r="323" spans="2:8" ht="16.5" thickBot="1">
      <c r="B323" s="162"/>
      <c r="C323" s="230"/>
      <c r="D323" s="204" t="s">
        <v>3</v>
      </c>
      <c r="E323" s="231"/>
      <c r="F323" s="232">
        <f>SUM(F319:F322)</f>
        <v>-718.4629704000001</v>
      </c>
      <c r="G323" s="34"/>
      <c r="H323" s="35"/>
    </row>
    <row r="324" spans="1:5" ht="13.5" thickBot="1">
      <c r="A324" s="19"/>
      <c r="B324" s="303"/>
      <c r="C324" s="131"/>
      <c r="D324" s="216"/>
      <c r="E324" s="216"/>
    </row>
    <row r="325" spans="2:6" ht="16.5" thickBot="1">
      <c r="B325" s="39"/>
      <c r="C325" s="204" t="s">
        <v>4</v>
      </c>
      <c r="D325" s="205"/>
      <c r="E325" s="233">
        <f>E317+F323</f>
        <v>3367.1634696</v>
      </c>
      <c r="F325" s="6"/>
    </row>
    <row r="326" spans="2:6" ht="15.75">
      <c r="B326" s="39"/>
      <c r="C326" s="241"/>
      <c r="D326" s="241"/>
      <c r="E326" s="274"/>
      <c r="F326" s="6"/>
    </row>
    <row r="327" spans="2:6" ht="12.75">
      <c r="B327" s="39"/>
      <c r="C327" s="207"/>
      <c r="F327" s="21"/>
    </row>
    <row r="328" spans="2:5" ht="15.75">
      <c r="B328" s="39"/>
      <c r="C328" s="207"/>
      <c r="D328" s="20"/>
      <c r="E328" s="206"/>
    </row>
    <row r="329" spans="2:6" ht="15.75">
      <c r="B329" s="39"/>
      <c r="C329" s="207"/>
      <c r="D329" s="20"/>
      <c r="E329" s="6" t="s">
        <v>448</v>
      </c>
      <c r="F329" s="206"/>
    </row>
    <row r="330" spans="2:6" ht="16.5" thickBot="1">
      <c r="B330" s="241" t="s">
        <v>447</v>
      </c>
      <c r="E330" s="6">
        <v>502</v>
      </c>
      <c r="F330" s="244">
        <f>-(E309+E310+E315+E311+E312+F318+D331)*C319</f>
        <v>-879.750576</v>
      </c>
    </row>
    <row r="331" spans="1:6" ht="16.5" thickBot="1">
      <c r="A331" s="19"/>
      <c r="B331" s="204" t="s">
        <v>445</v>
      </c>
      <c r="C331" s="129"/>
      <c r="D331" s="245">
        <f>(E309+E310+E311+E312+E315)*0.5</f>
        <v>1832.8137000000002</v>
      </c>
      <c r="E331" s="6">
        <v>504</v>
      </c>
      <c r="F331" s="244">
        <f>-(E309+E310+E315+E311+E312+F318+D331)*C320</f>
        <v>-32.9906466</v>
      </c>
    </row>
    <row r="332" spans="1:6" ht="16.5" thickBot="1">
      <c r="A332" s="19"/>
      <c r="B332" s="204" t="s">
        <v>446</v>
      </c>
      <c r="C332" s="129"/>
      <c r="D332" s="294">
        <v>0</v>
      </c>
      <c r="E332" s="6">
        <v>505</v>
      </c>
      <c r="F332" s="244">
        <f>-(E309+E310+E315+E311+E312+F318+D331)*C321</f>
        <v>-164.95323299999998</v>
      </c>
    </row>
    <row r="333" spans="1:6" ht="16.5" thickBot="1">
      <c r="A333" s="19"/>
      <c r="B333" s="39"/>
      <c r="C333" s="207"/>
      <c r="D333" s="20"/>
      <c r="E333" s="206"/>
      <c r="F333" s="206"/>
    </row>
    <row r="334" spans="1:6" ht="16.5" thickBot="1">
      <c r="A334" s="19"/>
      <c r="B334" s="39"/>
      <c r="C334" s="207"/>
      <c r="D334" s="248" t="s">
        <v>449</v>
      </c>
      <c r="E334" s="208"/>
      <c r="F334" s="243">
        <f>E317+D331+D332+F330+F331+F332</f>
        <v>4840.7456844</v>
      </c>
    </row>
    <row r="335" spans="1:6" ht="15.75">
      <c r="A335" s="19"/>
      <c r="B335" s="39"/>
      <c r="C335" s="207"/>
      <c r="D335" s="20"/>
      <c r="E335" s="208"/>
      <c r="F335" s="206"/>
    </row>
    <row r="336" spans="1:6" ht="15.75">
      <c r="A336" s="19"/>
      <c r="B336" s="39"/>
      <c r="C336" s="207"/>
      <c r="D336" s="304" t="s">
        <v>458</v>
      </c>
      <c r="E336" s="305"/>
      <c r="F336" s="306">
        <f>F334-E325</f>
        <v>1473.5822147999997</v>
      </c>
    </row>
    <row r="337" spans="1:7" ht="12.75">
      <c r="A337" s="19"/>
      <c r="F337" s="34"/>
      <c r="G337" s="360"/>
    </row>
    <row r="338" spans="1:11" ht="15">
      <c r="A338" s="19"/>
      <c r="B338" s="424" t="s">
        <v>29</v>
      </c>
      <c r="C338" s="424"/>
      <c r="D338" s="423"/>
      <c r="G338" s="38"/>
      <c r="H338" s="37"/>
      <c r="I338" s="19"/>
      <c r="J338" s="19"/>
      <c r="K338" s="19"/>
    </row>
    <row r="339" spans="1:11" ht="15">
      <c r="A339" s="19"/>
      <c r="B339" s="424" t="s">
        <v>577</v>
      </c>
      <c r="C339" s="424"/>
      <c r="D339" s="423"/>
      <c r="G339" s="38"/>
      <c r="H339" s="37"/>
      <c r="I339" s="39"/>
      <c r="J339" s="35"/>
      <c r="K339" s="19"/>
    </row>
    <row r="340" spans="1:11" ht="15.75">
      <c r="A340" s="19"/>
      <c r="B340" s="424" t="s">
        <v>30</v>
      </c>
      <c r="C340" s="424"/>
      <c r="D340" s="423"/>
      <c r="G340" s="38"/>
      <c r="H340" s="37"/>
      <c r="I340" s="39"/>
      <c r="J340" s="42"/>
      <c r="K340" s="19"/>
    </row>
    <row r="341" spans="1:11" ht="15">
      <c r="A341" s="19"/>
      <c r="B341" s="424" t="s">
        <v>428</v>
      </c>
      <c r="C341" s="424"/>
      <c r="D341" s="423"/>
      <c r="G341" s="38"/>
      <c r="H341" s="41"/>
      <c r="I341" s="39"/>
      <c r="J341" s="35"/>
      <c r="K341" s="19"/>
    </row>
    <row r="342" spans="1:11" ht="15.75">
      <c r="A342" s="19"/>
      <c r="B342" s="422" t="s">
        <v>491</v>
      </c>
      <c r="C342" s="424"/>
      <c r="D342" s="423"/>
      <c r="G342" s="38"/>
      <c r="H342" s="35"/>
      <c r="I342" s="39"/>
      <c r="J342" s="42"/>
      <c r="K342" s="19"/>
    </row>
    <row r="343" spans="1:11" ht="15.75">
      <c r="A343" s="19"/>
      <c r="B343" s="422" t="s">
        <v>66</v>
      </c>
      <c r="C343" s="424"/>
      <c r="D343" s="423"/>
      <c r="G343" s="38"/>
      <c r="H343" s="42"/>
      <c r="I343" s="39"/>
      <c r="J343" s="19"/>
      <c r="K343" s="19"/>
    </row>
    <row r="344" spans="1:11" ht="18">
      <c r="A344" s="19"/>
      <c r="B344" s="422" t="s">
        <v>578</v>
      </c>
      <c r="C344" s="425"/>
      <c r="D344" s="423"/>
      <c r="G344" s="38"/>
      <c r="H344" s="42"/>
      <c r="I344" s="39"/>
      <c r="J344" s="19"/>
      <c r="K344" s="19"/>
    </row>
    <row r="345" spans="1:11" ht="12.75">
      <c r="A345" s="19"/>
      <c r="B345" s="19"/>
      <c r="C345" s="35"/>
      <c r="D345" s="19"/>
      <c r="E345" s="35"/>
      <c r="F345" s="19"/>
      <c r="G345" s="19"/>
      <c r="H345" s="35"/>
      <c r="I345" s="39"/>
      <c r="J345" s="19"/>
      <c r="K345" s="19"/>
    </row>
    <row r="346" spans="2:11" ht="12.75">
      <c r="B346" s="35"/>
      <c r="C346" s="35"/>
      <c r="D346" s="19"/>
      <c r="E346" s="40"/>
      <c r="F346" s="19"/>
      <c r="G346" s="35"/>
      <c r="H346" s="43"/>
      <c r="I346" s="19"/>
      <c r="J346" s="19"/>
      <c r="K346" s="19"/>
    </row>
    <row r="347" spans="2:11" ht="12.75">
      <c r="B347" s="35"/>
      <c r="C347" s="35"/>
      <c r="D347" s="19"/>
      <c r="E347" s="35"/>
      <c r="F347" s="19"/>
      <c r="G347" s="19"/>
      <c r="H347" s="19"/>
      <c r="I347" s="39"/>
      <c r="J347" s="19"/>
      <c r="K347" s="19"/>
    </row>
    <row r="348" spans="2:11" ht="15.75">
      <c r="B348" s="35"/>
      <c r="C348" s="19"/>
      <c r="D348" s="249"/>
      <c r="E348" s="42"/>
      <c r="F348" s="19"/>
      <c r="G348" s="19"/>
      <c r="H348" s="19"/>
      <c r="I348" s="19"/>
      <c r="J348" s="19"/>
      <c r="K348" s="19"/>
    </row>
    <row r="349" spans="2:11" ht="18">
      <c r="B349" s="35"/>
      <c r="C349" s="19"/>
      <c r="D349" s="19"/>
      <c r="E349" s="19"/>
      <c r="F349" s="19"/>
      <c r="G349" s="19"/>
      <c r="H349" s="44"/>
      <c r="I349" s="19"/>
      <c r="J349" s="19"/>
      <c r="K349" s="19"/>
    </row>
    <row r="350" spans="2:11" ht="15.75">
      <c r="B350" s="35"/>
      <c r="C350" s="19"/>
      <c r="D350" s="39"/>
      <c r="E350" s="42"/>
      <c r="F350" s="19"/>
      <c r="G350" s="19"/>
      <c r="H350" s="35"/>
      <c r="I350" s="19"/>
      <c r="J350" s="19"/>
      <c r="K350" s="19"/>
    </row>
    <row r="351" spans="2:11" ht="18">
      <c r="B351" s="35"/>
      <c r="C351" s="45"/>
      <c r="D351" s="19"/>
      <c r="E351" s="35"/>
      <c r="F351" s="19"/>
      <c r="G351" s="19"/>
      <c r="H351" s="44"/>
      <c r="I351" s="19"/>
      <c r="J351" s="35"/>
      <c r="K351" s="19"/>
    </row>
    <row r="352" spans="2:11" ht="12.75">
      <c r="B352" s="35"/>
      <c r="C352" s="19"/>
      <c r="D352" s="19"/>
      <c r="E352" s="19"/>
      <c r="F352" s="19"/>
      <c r="G352" s="19"/>
      <c r="H352" s="35"/>
      <c r="I352" s="19"/>
      <c r="J352" s="35"/>
      <c r="K352" s="19"/>
    </row>
    <row r="353" spans="2:11" ht="12.75">
      <c r="B353" s="35"/>
      <c r="C353" s="19"/>
      <c r="D353" s="19"/>
      <c r="E353" s="19"/>
      <c r="F353" s="19"/>
      <c r="G353" s="19"/>
      <c r="H353" s="19"/>
      <c r="I353" s="19"/>
      <c r="J353" s="35"/>
      <c r="K353" s="19"/>
    </row>
    <row r="354" spans="2:11" ht="12.75">
      <c r="B354" s="35"/>
      <c r="C354" s="35"/>
      <c r="D354" s="19"/>
      <c r="E354" s="19"/>
      <c r="F354" s="19"/>
      <c r="G354" s="35"/>
      <c r="H354" s="19"/>
      <c r="I354" s="19"/>
      <c r="J354" s="19"/>
      <c r="K354" s="19"/>
    </row>
    <row r="355" spans="2:11" ht="12.75">
      <c r="B355" s="35"/>
      <c r="C355" s="35"/>
      <c r="D355" s="19"/>
      <c r="E355" s="19"/>
      <c r="F355" s="19"/>
      <c r="G355" s="35"/>
      <c r="H355" s="19"/>
      <c r="I355" s="19"/>
      <c r="J355" s="35"/>
      <c r="K355" s="19"/>
    </row>
    <row r="356" spans="2:11" ht="12.75">
      <c r="B356" s="35"/>
      <c r="C356" s="35"/>
      <c r="D356" s="19"/>
      <c r="E356" s="19"/>
      <c r="F356" s="19"/>
      <c r="G356" s="35"/>
      <c r="H356" s="19"/>
      <c r="I356" s="19"/>
      <c r="J356" s="36"/>
      <c r="K356" s="19"/>
    </row>
    <row r="357" spans="2:11" ht="12.75">
      <c r="B357" s="35"/>
      <c r="C357" s="35"/>
      <c r="D357" s="19"/>
      <c r="E357" s="19"/>
      <c r="F357" s="19"/>
      <c r="G357" s="35"/>
      <c r="H357" s="19"/>
      <c r="I357" s="19"/>
      <c r="J357" s="20"/>
      <c r="K357" s="19"/>
    </row>
    <row r="358" spans="2:11" ht="12.75">
      <c r="B358" s="35"/>
      <c r="C358" s="35"/>
      <c r="D358" s="19"/>
      <c r="E358" s="35"/>
      <c r="F358" s="19"/>
      <c r="G358" s="35"/>
      <c r="H358" s="19"/>
      <c r="I358" s="19"/>
      <c r="J358" s="36"/>
      <c r="K358" s="19"/>
    </row>
    <row r="359" spans="2:11" ht="12.75">
      <c r="B359" s="46"/>
      <c r="C359" s="36"/>
      <c r="D359" s="19"/>
      <c r="E359" s="35"/>
      <c r="F359" s="19"/>
      <c r="G359" s="46"/>
      <c r="H359" s="20"/>
      <c r="I359" s="19"/>
      <c r="J359" s="20"/>
      <c r="K359" s="19"/>
    </row>
    <row r="360" spans="2:11" ht="12.75">
      <c r="B360" s="19"/>
      <c r="C360" s="35"/>
      <c r="D360" s="19"/>
      <c r="E360" s="35"/>
      <c r="F360" s="19"/>
      <c r="G360" s="36"/>
      <c r="H360" s="20"/>
      <c r="I360" s="47"/>
      <c r="J360" s="20"/>
      <c r="K360" s="19"/>
    </row>
    <row r="361" spans="2:11" ht="12.75">
      <c r="B361" s="19"/>
      <c r="C361" s="35"/>
      <c r="D361" s="19"/>
      <c r="E361" s="19"/>
      <c r="F361" s="19"/>
      <c r="G361" s="36"/>
      <c r="H361" s="20"/>
      <c r="I361" s="20"/>
      <c r="J361" s="20"/>
      <c r="K361" s="19"/>
    </row>
    <row r="362" spans="2:11" ht="12.75">
      <c r="B362" s="19"/>
      <c r="C362" s="19"/>
      <c r="D362" s="19"/>
      <c r="E362" s="35"/>
      <c r="F362" s="19"/>
      <c r="G362" s="20"/>
      <c r="H362" s="20"/>
      <c r="I362" s="47"/>
      <c r="J362" s="19"/>
      <c r="K362" s="19"/>
    </row>
    <row r="363" spans="2:11" ht="12.75">
      <c r="B363" s="19"/>
      <c r="C363" s="19"/>
      <c r="D363" s="47"/>
      <c r="E363" s="36"/>
      <c r="F363" s="19"/>
      <c r="G363" s="20"/>
      <c r="H363" s="20"/>
      <c r="I363" s="20"/>
      <c r="J363" s="19"/>
      <c r="K363" s="19"/>
    </row>
    <row r="364" spans="2:11" ht="12.75">
      <c r="B364" s="19"/>
      <c r="C364" s="19"/>
      <c r="D364" s="19"/>
      <c r="E364" s="19"/>
      <c r="F364" s="19"/>
      <c r="G364" s="36"/>
      <c r="H364" s="20"/>
      <c r="I364" s="20"/>
      <c r="J364" s="19"/>
      <c r="K364" s="19"/>
    </row>
    <row r="365" spans="2:11" ht="12.75">
      <c r="B365" s="19"/>
      <c r="C365" s="19"/>
      <c r="D365" s="47"/>
      <c r="E365" s="36"/>
      <c r="F365" s="19"/>
      <c r="G365" s="19"/>
      <c r="H365" s="19"/>
      <c r="I365" s="36"/>
      <c r="J365" s="19"/>
      <c r="K365" s="19"/>
    </row>
    <row r="366" spans="2:11" ht="12.75">
      <c r="B366" s="19"/>
      <c r="C366" s="19"/>
      <c r="D366" s="19"/>
      <c r="E366" s="19"/>
      <c r="F366" s="19"/>
      <c r="G366" s="19"/>
      <c r="H366" s="19"/>
      <c r="I366" s="19"/>
      <c r="J366" s="35"/>
      <c r="K366" s="19"/>
    </row>
    <row r="367" spans="2:11" ht="12.75">
      <c r="B367" s="19"/>
      <c r="C367" s="20"/>
      <c r="D367" s="19"/>
      <c r="E367" s="35"/>
      <c r="F367" s="19"/>
      <c r="G367" s="19"/>
      <c r="H367" s="19"/>
      <c r="I367" s="19"/>
      <c r="J367" s="35"/>
      <c r="K367" s="19"/>
    </row>
    <row r="368" spans="2:11" ht="12.75">
      <c r="B368" s="19"/>
      <c r="C368" s="19"/>
      <c r="D368" s="19"/>
      <c r="E368" s="35"/>
      <c r="F368" s="19"/>
      <c r="G368" s="19"/>
      <c r="H368" s="19"/>
      <c r="I368" s="19"/>
      <c r="J368" s="35"/>
      <c r="K368" s="19"/>
    </row>
    <row r="369" spans="2:11" ht="12.75">
      <c r="B369" s="35"/>
      <c r="C369" s="35"/>
      <c r="D369" s="19"/>
      <c r="E369" s="19"/>
      <c r="F369" s="19"/>
      <c r="G369" s="35"/>
      <c r="H369" s="35"/>
      <c r="I369" s="19"/>
      <c r="J369" s="19"/>
      <c r="K369" s="19"/>
    </row>
    <row r="370" spans="2:11" ht="12.75">
      <c r="B370" s="35"/>
      <c r="C370" s="35"/>
      <c r="D370" s="19"/>
      <c r="E370" s="19"/>
      <c r="F370" s="19"/>
      <c r="G370" s="35"/>
      <c r="H370" s="35"/>
      <c r="I370" s="19"/>
      <c r="J370" s="35"/>
      <c r="K370" s="19"/>
    </row>
    <row r="371" spans="2:11" ht="12.75">
      <c r="B371" s="35"/>
      <c r="C371" s="35"/>
      <c r="D371" s="19"/>
      <c r="E371" s="19"/>
      <c r="F371" s="19"/>
      <c r="G371" s="35"/>
      <c r="H371" s="35"/>
      <c r="I371" s="19"/>
      <c r="J371" s="35"/>
      <c r="K371" s="19"/>
    </row>
    <row r="372" spans="2:11" ht="12.75">
      <c r="B372" s="35"/>
      <c r="C372" s="35"/>
      <c r="D372" s="19"/>
      <c r="E372" s="19"/>
      <c r="F372" s="19"/>
      <c r="G372" s="35"/>
      <c r="H372" s="35"/>
      <c r="I372" s="19"/>
      <c r="J372" s="19"/>
      <c r="K372" s="19"/>
    </row>
    <row r="373" spans="2:11" ht="12.75">
      <c r="B373" s="35"/>
      <c r="C373" s="35"/>
      <c r="D373" s="19"/>
      <c r="E373" s="35"/>
      <c r="F373" s="19"/>
      <c r="G373" s="35"/>
      <c r="H373" s="35"/>
      <c r="I373" s="19"/>
      <c r="J373" s="35"/>
      <c r="K373" s="19"/>
    </row>
    <row r="374" spans="2:11" ht="12.75">
      <c r="B374" s="46"/>
      <c r="C374" s="35"/>
      <c r="D374" s="19"/>
      <c r="E374" s="35"/>
      <c r="F374" s="19"/>
      <c r="G374" s="46"/>
      <c r="H374" s="35"/>
      <c r="I374" s="19"/>
      <c r="J374" s="19"/>
      <c r="K374" s="19"/>
    </row>
    <row r="375" spans="2:11" ht="12.75">
      <c r="B375" s="19"/>
      <c r="C375" s="19"/>
      <c r="D375" s="19"/>
      <c r="E375" s="35"/>
      <c r="F375" s="19"/>
      <c r="G375" s="36"/>
      <c r="H375" s="19"/>
      <c r="I375" s="19"/>
      <c r="J375" s="19"/>
      <c r="K375" s="19"/>
    </row>
    <row r="376" spans="2:11" ht="12.75">
      <c r="B376" s="19"/>
      <c r="C376" s="35"/>
      <c r="D376" s="19"/>
      <c r="E376" s="19"/>
      <c r="F376" s="19"/>
      <c r="G376" s="36"/>
      <c r="H376" s="35"/>
      <c r="I376" s="19"/>
      <c r="J376" s="19"/>
      <c r="K376" s="19"/>
    </row>
    <row r="377" spans="2:11" ht="12.75">
      <c r="B377" s="19"/>
      <c r="C377" s="19"/>
      <c r="D377" s="19"/>
      <c r="E377" s="35"/>
      <c r="F377" s="19"/>
      <c r="G377" s="20"/>
      <c r="H377" s="35"/>
      <c r="I377" s="19"/>
      <c r="J377" s="19"/>
      <c r="K377" s="19"/>
    </row>
    <row r="378" spans="2:11" ht="12.75">
      <c r="B378" s="19"/>
      <c r="C378" s="19"/>
      <c r="D378" s="47"/>
      <c r="E378" s="35"/>
      <c r="F378" s="19"/>
      <c r="G378" s="20"/>
      <c r="H378" s="19"/>
      <c r="I378" s="20"/>
      <c r="J378" s="19"/>
      <c r="K378" s="19"/>
    </row>
    <row r="379" spans="2:11" ht="12.75">
      <c r="B379" s="19"/>
      <c r="C379" s="19"/>
      <c r="D379" s="19"/>
      <c r="E379" s="19"/>
      <c r="F379" s="19"/>
      <c r="G379" s="36"/>
      <c r="H379" s="20"/>
      <c r="I379" s="19"/>
      <c r="J379" s="19"/>
      <c r="K379" s="19"/>
    </row>
    <row r="380" spans="2:11" ht="12.75">
      <c r="B380" s="19"/>
      <c r="C380" s="19"/>
      <c r="D380" s="47"/>
      <c r="E380" s="35"/>
      <c r="F380" s="19"/>
      <c r="G380" s="36"/>
      <c r="H380" s="20"/>
      <c r="I380" s="36"/>
      <c r="J380" s="19"/>
      <c r="K380" s="19"/>
    </row>
    <row r="381" spans="2:11" ht="12.75">
      <c r="B381" s="19"/>
      <c r="C381" s="19"/>
      <c r="D381" s="19"/>
      <c r="E381" s="19"/>
      <c r="F381" s="19"/>
      <c r="G381" s="36"/>
      <c r="H381" s="20"/>
      <c r="I381" s="36"/>
      <c r="J381" s="19"/>
      <c r="K381" s="19"/>
    </row>
    <row r="382" spans="2:11" ht="12.75">
      <c r="B382" s="19"/>
      <c r="C382" s="20"/>
      <c r="D382" s="19"/>
      <c r="E382" s="19"/>
      <c r="F382" s="19"/>
      <c r="G382" s="19"/>
      <c r="H382" s="19"/>
      <c r="I382" s="36"/>
      <c r="J382" s="35"/>
      <c r="K382" s="19"/>
    </row>
    <row r="383" spans="2:11" ht="12.75">
      <c r="B383" s="19"/>
      <c r="C383" s="19"/>
      <c r="D383" s="19"/>
      <c r="E383" s="19"/>
      <c r="F383" s="19"/>
      <c r="G383" s="19"/>
      <c r="H383" s="19"/>
      <c r="I383" s="19"/>
      <c r="J383" s="35"/>
      <c r="K383" s="19"/>
    </row>
    <row r="384" spans="2:11" ht="12.75">
      <c r="B384" s="19"/>
      <c r="C384" s="19"/>
      <c r="D384" s="19"/>
      <c r="E384" s="19"/>
      <c r="F384" s="19"/>
      <c r="G384" s="19"/>
      <c r="H384" s="19"/>
      <c r="I384" s="19"/>
      <c r="J384" s="35"/>
      <c r="K384" s="19"/>
    </row>
    <row r="385" spans="2:11" ht="12.75">
      <c r="B385" s="35"/>
      <c r="C385" s="35"/>
      <c r="D385" s="19"/>
      <c r="E385" s="19"/>
      <c r="F385" s="19"/>
      <c r="G385" s="35"/>
      <c r="H385" s="35"/>
      <c r="I385" s="19"/>
      <c r="J385" s="19"/>
      <c r="K385" s="19"/>
    </row>
    <row r="386" spans="2:11" ht="12.75">
      <c r="B386" s="35"/>
      <c r="C386" s="35"/>
      <c r="D386" s="19"/>
      <c r="E386" s="19"/>
      <c r="F386" s="19"/>
      <c r="G386" s="35"/>
      <c r="H386" s="35"/>
      <c r="I386" s="19"/>
      <c r="J386" s="35"/>
      <c r="K386" s="19"/>
    </row>
    <row r="387" spans="2:11" ht="12.75">
      <c r="B387" s="35"/>
      <c r="C387" s="35"/>
      <c r="D387" s="19"/>
      <c r="E387" s="19"/>
      <c r="F387" s="19"/>
      <c r="G387" s="35"/>
      <c r="H387" s="35"/>
      <c r="I387" s="19"/>
      <c r="J387" s="35"/>
      <c r="K387" s="19"/>
    </row>
    <row r="388" spans="2:11" ht="12.75">
      <c r="B388" s="35"/>
      <c r="C388" s="35"/>
      <c r="D388" s="19"/>
      <c r="E388" s="19"/>
      <c r="F388" s="19"/>
      <c r="G388" s="35"/>
      <c r="H388" s="35"/>
      <c r="I388" s="19"/>
      <c r="J388" s="19"/>
      <c r="K388" s="19"/>
    </row>
    <row r="389" spans="2:11" ht="12.75">
      <c r="B389" s="35"/>
      <c r="C389" s="35"/>
      <c r="D389" s="19"/>
      <c r="E389" s="35"/>
      <c r="F389" s="19"/>
      <c r="G389" s="35"/>
      <c r="H389" s="35"/>
      <c r="I389" s="19"/>
      <c r="J389" s="35"/>
      <c r="K389" s="19"/>
    </row>
    <row r="390" spans="2:11" ht="12.75">
      <c r="B390" s="46"/>
      <c r="C390" s="35"/>
      <c r="D390" s="19"/>
      <c r="E390" s="35"/>
      <c r="F390" s="19"/>
      <c r="G390" s="46"/>
      <c r="H390" s="35"/>
      <c r="I390" s="19"/>
      <c r="J390" s="19"/>
      <c r="K390" s="19"/>
    </row>
    <row r="391" spans="2:11" ht="12.75">
      <c r="B391" s="19"/>
      <c r="C391" s="19"/>
      <c r="D391" s="19"/>
      <c r="E391" s="35"/>
      <c r="F391" s="19"/>
      <c r="G391" s="36"/>
      <c r="H391" s="19"/>
      <c r="I391" s="47"/>
      <c r="J391" s="19"/>
      <c r="K391" s="19"/>
    </row>
    <row r="392" spans="2:11" ht="12.75">
      <c r="B392" s="19"/>
      <c r="C392" s="35"/>
      <c r="D392" s="19"/>
      <c r="E392" s="19"/>
      <c r="F392" s="19"/>
      <c r="G392" s="36"/>
      <c r="H392" s="35"/>
      <c r="I392" s="20"/>
      <c r="J392" s="19"/>
      <c r="K392" s="19"/>
    </row>
    <row r="393" spans="2:11" ht="12.75">
      <c r="B393" s="19"/>
      <c r="C393" s="19"/>
      <c r="D393" s="19"/>
      <c r="E393" s="35"/>
      <c r="F393" s="19"/>
      <c r="G393" s="20"/>
      <c r="H393" s="35"/>
      <c r="I393" s="47"/>
      <c r="J393" s="19"/>
      <c r="K393" s="19"/>
    </row>
    <row r="394" spans="2:11" ht="12.75">
      <c r="B394" s="19"/>
      <c r="C394" s="19"/>
      <c r="D394" s="47"/>
      <c r="E394" s="35"/>
      <c r="F394" s="19"/>
      <c r="G394" s="20"/>
      <c r="H394" s="19"/>
      <c r="I394" s="19"/>
      <c r="J394" s="19"/>
      <c r="K394" s="19"/>
    </row>
    <row r="395" spans="2:11" ht="12.75">
      <c r="B395" s="19"/>
      <c r="C395" s="19"/>
      <c r="D395" s="19"/>
      <c r="E395" s="19"/>
      <c r="F395" s="19"/>
      <c r="G395" s="36"/>
      <c r="H395" s="19"/>
      <c r="I395" s="19"/>
      <c r="J395" s="19"/>
      <c r="K395" s="19"/>
    </row>
    <row r="396" spans="2:11" ht="12.75">
      <c r="B396" s="19"/>
      <c r="C396" s="19"/>
      <c r="D396" s="47"/>
      <c r="E396" s="35"/>
      <c r="F396" s="19"/>
      <c r="G396" s="19"/>
      <c r="H396" s="19"/>
      <c r="I396" s="35"/>
      <c r="J396" s="19"/>
      <c r="K396" s="19"/>
    </row>
    <row r="397" spans="2:11" ht="12.75">
      <c r="B397" s="1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2:10" ht="12.75"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2:9" ht="12.75">
      <c r="B399" s="19"/>
      <c r="C399" s="19"/>
      <c r="D399" s="19"/>
      <c r="E399" s="19"/>
      <c r="F399" s="19"/>
      <c r="G399" s="19"/>
      <c r="H399" s="19"/>
      <c r="I399" s="19"/>
    </row>
    <row r="400" spans="2:9" ht="12.75">
      <c r="B400" s="19"/>
      <c r="C400" s="19"/>
      <c r="D400" s="19"/>
      <c r="E400" s="19"/>
      <c r="F400" s="19"/>
      <c r="G400" s="19"/>
      <c r="H400" s="19"/>
      <c r="I400" s="19"/>
    </row>
    <row r="401" spans="2:9" ht="12.75">
      <c r="B401" s="19"/>
      <c r="C401" s="19"/>
      <c r="D401" s="19"/>
      <c r="E401" s="19"/>
      <c r="F401" s="19"/>
      <c r="G401" s="19"/>
      <c r="H401" s="19"/>
      <c r="I401" s="19"/>
    </row>
    <row r="402" spans="4:9" ht="12.75">
      <c r="D402" s="19"/>
      <c r="E402" s="19"/>
      <c r="F402" s="19"/>
      <c r="I402" s="19"/>
    </row>
    <row r="403" spans="4:6" ht="12.75">
      <c r="D403" s="19"/>
      <c r="E403" s="19"/>
      <c r="F403" s="19"/>
    </row>
    <row r="404" spans="4:6" ht="12.75">
      <c r="D404" s="19"/>
      <c r="E404" s="19"/>
      <c r="F404" s="19"/>
    </row>
    <row r="405" spans="4:6" ht="12.75">
      <c r="D405" s="19"/>
      <c r="E405" s="19"/>
      <c r="F405" s="19"/>
    </row>
  </sheetData>
  <sheetProtection password="C9B5" sheet="1" objects="1" scenarios="1" selectLockedCells="1"/>
  <hyperlinks>
    <hyperlink ref="C6" location="Cargos" display="cargos"/>
    <hyperlink ref="C7" location="HORAS_DE_NIVEL_MEDIO" display="horas nivel medio"/>
    <hyperlink ref="C8" location="HORAS_DE_NIVEL_Superior" display="horas nivel superior"/>
    <hyperlink ref="C5" location="instructivo" display="Instructivo"/>
    <hyperlink ref="B343" r:id="rId1" display="www.agmeruruguay.com.ar"/>
    <hyperlink ref="C9:D9" location="Cargos!A1" display="listado de cargos"/>
    <hyperlink ref="B32" location="Cargos!A1" display="Cargos"/>
    <hyperlink ref="A57" r:id="rId2" display="www.agmeruruguay.com.ar"/>
    <hyperlink ref="A58" r:id="rId3" display="www.celestecompromiso.com.ar"/>
    <hyperlink ref="B344" r:id="rId4" display="www.porunagmerdetodos.com.ar"/>
    <hyperlink ref="B342" r:id="rId5" display="victorhutt@victorhutt.com.ar"/>
    <hyperlink ref="A56" r:id="rId6" display="victorhutt@victorhutt.com.ar"/>
  </hyperlinks>
  <printOptions/>
  <pageMargins left="0.7874015748031497" right="0.7874015748031497" top="0.5905511811023623" bottom="0.5905511811023623" header="0.5905511811023623" footer="0"/>
  <pageSetup horizontalDpi="360" verticalDpi="360" orientation="landscape" paperSize="5" scale="82" r:id="rId10"/>
  <rowBreaks count="4" manualBreakCount="4">
    <brk id="49" max="255" man="1"/>
    <brk id="81" max="255" man="1"/>
    <brk id="89" max="255" man="1"/>
    <brk id="188" max="255" man="1"/>
  </rowBreaks>
  <drawing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G314"/>
  <sheetViews>
    <sheetView zoomScale="85" zoomScaleNormal="85" workbookViewId="0" topLeftCell="A1">
      <pane ySplit="2" topLeftCell="BM36" activePane="bottomLeft" state="frozen"/>
      <selection pane="topLeft" activeCell="A1" sqref="A1"/>
      <selection pane="bottomLeft" activeCell="B65" sqref="B65"/>
    </sheetView>
  </sheetViews>
  <sheetFormatPr defaultColWidth="11.421875" defaultRowHeight="12.75"/>
  <cols>
    <col min="2" max="2" width="64.8515625" style="0" bestFit="1" customWidth="1"/>
    <col min="3" max="3" width="8.7109375" style="0" bestFit="1" customWidth="1"/>
    <col min="4" max="4" width="20.57421875" style="355" customWidth="1"/>
    <col min="5" max="5" width="7.00390625" style="0" bestFit="1" customWidth="1"/>
    <col min="6" max="6" width="6.00390625" style="0" bestFit="1" customWidth="1"/>
    <col min="7" max="7" width="8.57421875" style="0" bestFit="1" customWidth="1"/>
  </cols>
  <sheetData>
    <row r="1" spans="1:7" ht="13.5" thickBot="1">
      <c r="A1" s="60"/>
      <c r="B1" s="301" t="s">
        <v>455</v>
      </c>
      <c r="C1" s="61"/>
      <c r="D1" s="352" t="s">
        <v>67</v>
      </c>
      <c r="E1" s="62" t="s">
        <v>68</v>
      </c>
      <c r="F1" s="63" t="s">
        <v>69</v>
      </c>
      <c r="G1" s="63" t="s">
        <v>70</v>
      </c>
    </row>
    <row r="2" spans="1:7" ht="12.75">
      <c r="A2" s="64" t="s">
        <v>71</v>
      </c>
      <c r="B2" s="65" t="s">
        <v>72</v>
      </c>
      <c r="C2" s="64" t="s">
        <v>73</v>
      </c>
      <c r="D2" s="353" t="s">
        <v>526</v>
      </c>
      <c r="E2" s="66" t="s">
        <v>74</v>
      </c>
      <c r="F2" s="66" t="s">
        <v>75</v>
      </c>
      <c r="G2" s="66" t="s">
        <v>76</v>
      </c>
    </row>
    <row r="3" spans="1:7" ht="12.75">
      <c r="A3" s="67">
        <v>600</v>
      </c>
      <c r="B3" s="68" t="s">
        <v>77</v>
      </c>
      <c r="C3" s="67">
        <v>1300</v>
      </c>
      <c r="D3" s="354">
        <v>127</v>
      </c>
      <c r="E3" s="69">
        <v>0</v>
      </c>
      <c r="F3" s="67">
        <v>0</v>
      </c>
      <c r="G3" s="67">
        <v>0</v>
      </c>
    </row>
    <row r="4" spans="1:7" ht="12.75">
      <c r="A4" s="67">
        <v>603</v>
      </c>
      <c r="B4" s="68" t="s">
        <v>78</v>
      </c>
      <c r="C4" s="67">
        <v>3146</v>
      </c>
      <c r="D4" s="354">
        <v>0</v>
      </c>
      <c r="E4" s="69">
        <v>0</v>
      </c>
      <c r="F4" s="67">
        <v>0</v>
      </c>
      <c r="G4" s="67">
        <v>0</v>
      </c>
    </row>
    <row r="5" spans="1:7" ht="12.75">
      <c r="A5" s="67">
        <v>604</v>
      </c>
      <c r="B5" s="68" t="s">
        <v>79</v>
      </c>
      <c r="C5" s="67">
        <v>3146</v>
      </c>
      <c r="D5" s="354">
        <v>0</v>
      </c>
      <c r="E5" s="69">
        <v>0</v>
      </c>
      <c r="F5" s="67">
        <v>0</v>
      </c>
      <c r="G5" s="67">
        <v>0</v>
      </c>
    </row>
    <row r="6" spans="1:7" ht="12.75">
      <c r="A6" s="67">
        <v>605</v>
      </c>
      <c r="B6" s="68" t="s">
        <v>80</v>
      </c>
      <c r="C6" s="67">
        <v>2913</v>
      </c>
      <c r="D6" s="354">
        <v>0</v>
      </c>
      <c r="E6" s="69">
        <v>0</v>
      </c>
      <c r="F6" s="67">
        <v>0</v>
      </c>
      <c r="G6" s="67">
        <v>0</v>
      </c>
    </row>
    <row r="7" spans="1:7" ht="12.75">
      <c r="A7" s="67">
        <v>606</v>
      </c>
      <c r="B7" s="68" t="s">
        <v>81</v>
      </c>
      <c r="C7" s="67">
        <v>2913</v>
      </c>
      <c r="D7" s="354">
        <v>0</v>
      </c>
      <c r="E7" s="69">
        <v>0</v>
      </c>
      <c r="F7" s="67">
        <v>0</v>
      </c>
      <c r="G7" s="67">
        <v>0</v>
      </c>
    </row>
    <row r="8" spans="1:7" ht="12.75">
      <c r="A8" s="67">
        <v>608</v>
      </c>
      <c r="B8" s="68" t="s">
        <v>82</v>
      </c>
      <c r="C8" s="67">
        <v>2913</v>
      </c>
      <c r="D8" s="354">
        <v>0</v>
      </c>
      <c r="E8" s="69">
        <v>0</v>
      </c>
      <c r="F8" s="67">
        <v>0</v>
      </c>
      <c r="G8" s="67">
        <v>0</v>
      </c>
    </row>
    <row r="9" spans="1:7" ht="12.75">
      <c r="A9" s="67">
        <v>609</v>
      </c>
      <c r="B9" s="68" t="s">
        <v>83</v>
      </c>
      <c r="C9" s="67">
        <v>2000</v>
      </c>
      <c r="D9" s="354">
        <v>36</v>
      </c>
      <c r="E9" s="69">
        <v>0</v>
      </c>
      <c r="F9" s="67">
        <v>0</v>
      </c>
      <c r="G9" s="67">
        <v>0</v>
      </c>
    </row>
    <row r="10" spans="1:7" ht="12.75">
      <c r="A10" s="67">
        <v>611</v>
      </c>
      <c r="B10" s="68" t="s">
        <v>84</v>
      </c>
      <c r="C10" s="67">
        <v>1840</v>
      </c>
      <c r="D10" s="354">
        <v>57</v>
      </c>
      <c r="E10" s="69">
        <v>0</v>
      </c>
      <c r="F10" s="67">
        <v>0</v>
      </c>
      <c r="G10" s="67">
        <v>0</v>
      </c>
    </row>
    <row r="11" spans="1:7" ht="12.75">
      <c r="A11" s="67">
        <v>612</v>
      </c>
      <c r="B11" s="68" t="s">
        <v>85</v>
      </c>
      <c r="C11" s="67">
        <v>1690</v>
      </c>
      <c r="D11" s="354">
        <v>76</v>
      </c>
      <c r="E11" s="69">
        <v>0</v>
      </c>
      <c r="F11" s="67">
        <v>0</v>
      </c>
      <c r="G11" s="67">
        <v>0</v>
      </c>
    </row>
    <row r="12" spans="1:7" ht="12.75">
      <c r="A12" s="67">
        <v>613</v>
      </c>
      <c r="B12" s="68" t="s">
        <v>86</v>
      </c>
      <c r="C12" s="67">
        <v>1680</v>
      </c>
      <c r="D12" s="354">
        <v>77</v>
      </c>
      <c r="E12" s="69">
        <v>0</v>
      </c>
      <c r="F12" s="67">
        <v>0</v>
      </c>
      <c r="G12" s="67">
        <v>0</v>
      </c>
    </row>
    <row r="13" spans="1:7" ht="12.75">
      <c r="A13" s="67">
        <v>614</v>
      </c>
      <c r="B13" s="68" t="s">
        <v>87</v>
      </c>
      <c r="C13" s="67">
        <v>1740</v>
      </c>
      <c r="D13" s="354">
        <v>70</v>
      </c>
      <c r="E13" s="69">
        <v>0</v>
      </c>
      <c r="F13" s="67">
        <v>0</v>
      </c>
      <c r="G13" s="67">
        <v>0</v>
      </c>
    </row>
    <row r="14" spans="1:7" ht="12.75">
      <c r="A14" s="67">
        <v>615</v>
      </c>
      <c r="B14" s="68" t="s">
        <v>88</v>
      </c>
      <c r="C14" s="67">
        <v>1610</v>
      </c>
      <c r="D14" s="354">
        <v>87</v>
      </c>
      <c r="E14" s="69">
        <v>0</v>
      </c>
      <c r="F14" s="67">
        <v>0</v>
      </c>
      <c r="G14" s="67">
        <v>0</v>
      </c>
    </row>
    <row r="15" spans="1:7" ht="12.75">
      <c r="A15" s="67">
        <v>616</v>
      </c>
      <c r="B15" s="68" t="s">
        <v>89</v>
      </c>
      <c r="C15" s="67">
        <v>1740</v>
      </c>
      <c r="D15" s="354">
        <v>70</v>
      </c>
      <c r="E15" s="69">
        <v>0</v>
      </c>
      <c r="F15" s="67">
        <v>0</v>
      </c>
      <c r="G15" s="67">
        <v>0</v>
      </c>
    </row>
    <row r="16" spans="1:7" ht="12.75">
      <c r="A16" s="67">
        <v>617</v>
      </c>
      <c r="B16" s="68" t="s">
        <v>90</v>
      </c>
      <c r="C16" s="67">
        <v>1610</v>
      </c>
      <c r="D16" s="354">
        <v>87</v>
      </c>
      <c r="E16" s="69">
        <v>0</v>
      </c>
      <c r="F16" s="67">
        <v>0</v>
      </c>
      <c r="G16" s="67">
        <v>0</v>
      </c>
    </row>
    <row r="17" spans="1:7" ht="12.75">
      <c r="A17" s="67">
        <v>618</v>
      </c>
      <c r="B17" s="68" t="s">
        <v>91</v>
      </c>
      <c r="C17" s="67">
        <v>1500</v>
      </c>
      <c r="D17" s="354">
        <v>101</v>
      </c>
      <c r="E17" s="69">
        <v>0</v>
      </c>
      <c r="F17" s="67">
        <v>0</v>
      </c>
      <c r="G17" s="67">
        <v>0</v>
      </c>
    </row>
    <row r="18" spans="1:7" ht="12.75">
      <c r="A18" s="67">
        <v>619</v>
      </c>
      <c r="B18" s="68" t="s">
        <v>92</v>
      </c>
      <c r="C18" s="67">
        <v>1320</v>
      </c>
      <c r="D18" s="354">
        <v>124</v>
      </c>
      <c r="E18" s="69">
        <v>0</v>
      </c>
      <c r="F18" s="67">
        <v>0</v>
      </c>
      <c r="G18" s="67">
        <v>0</v>
      </c>
    </row>
    <row r="19" spans="1:7" ht="12.75">
      <c r="A19" s="67">
        <v>620</v>
      </c>
      <c r="B19" s="68" t="s">
        <v>93</v>
      </c>
      <c r="C19" s="67">
        <v>1550</v>
      </c>
      <c r="D19" s="354">
        <v>94</v>
      </c>
      <c r="E19" s="69">
        <v>0</v>
      </c>
      <c r="F19" s="67">
        <v>0</v>
      </c>
      <c r="G19" s="67">
        <v>0</v>
      </c>
    </row>
    <row r="20" spans="1:7" ht="12.75">
      <c r="A20" s="67">
        <v>621</v>
      </c>
      <c r="B20" s="68" t="s">
        <v>94</v>
      </c>
      <c r="C20" s="67">
        <v>1340</v>
      </c>
      <c r="D20" s="354">
        <v>122</v>
      </c>
      <c r="E20" s="69">
        <v>0</v>
      </c>
      <c r="F20" s="67">
        <v>0</v>
      </c>
      <c r="G20" s="67">
        <v>0</v>
      </c>
    </row>
    <row r="21" spans="1:7" ht="12.75">
      <c r="A21" s="67">
        <v>622</v>
      </c>
      <c r="B21" s="68" t="s">
        <v>95</v>
      </c>
      <c r="C21" s="67">
        <v>971</v>
      </c>
      <c r="D21" s="354">
        <v>170</v>
      </c>
      <c r="E21" s="69">
        <v>0</v>
      </c>
      <c r="F21" s="67">
        <v>0</v>
      </c>
      <c r="G21" s="67">
        <v>0</v>
      </c>
    </row>
    <row r="22" spans="1:7" ht="12.75">
      <c r="A22" s="67">
        <v>623</v>
      </c>
      <c r="B22" s="68" t="s">
        <v>96</v>
      </c>
      <c r="C22" s="67">
        <v>1690</v>
      </c>
      <c r="D22" s="354">
        <v>76</v>
      </c>
      <c r="E22" s="69">
        <v>0</v>
      </c>
      <c r="F22" s="67">
        <v>0</v>
      </c>
      <c r="G22" s="67">
        <v>0</v>
      </c>
    </row>
    <row r="23" spans="1:7" ht="12.75">
      <c r="A23" s="67">
        <v>624</v>
      </c>
      <c r="B23" s="68" t="s">
        <v>97</v>
      </c>
      <c r="C23" s="67">
        <v>1400</v>
      </c>
      <c r="D23" s="354">
        <v>114</v>
      </c>
      <c r="E23" s="69">
        <v>0</v>
      </c>
      <c r="F23" s="67">
        <v>0</v>
      </c>
      <c r="G23" s="67">
        <v>0</v>
      </c>
    </row>
    <row r="24" spans="1:7" ht="12.75">
      <c r="A24" s="67">
        <v>625</v>
      </c>
      <c r="B24" s="68" t="s">
        <v>98</v>
      </c>
      <c r="C24" s="67">
        <v>1370</v>
      </c>
      <c r="D24" s="354">
        <v>118</v>
      </c>
      <c r="E24" s="69">
        <v>0</v>
      </c>
      <c r="F24" s="67">
        <v>0</v>
      </c>
      <c r="G24" s="67">
        <v>0</v>
      </c>
    </row>
    <row r="25" spans="1:7" ht="12.75">
      <c r="A25" s="67">
        <v>626</v>
      </c>
      <c r="B25" s="68" t="s">
        <v>99</v>
      </c>
      <c r="C25" s="67">
        <v>1340</v>
      </c>
      <c r="D25" s="354">
        <v>122</v>
      </c>
      <c r="E25" s="69">
        <v>0</v>
      </c>
      <c r="F25" s="67">
        <v>0</v>
      </c>
      <c r="G25" s="67">
        <v>0</v>
      </c>
    </row>
    <row r="26" spans="1:7" ht="12.75">
      <c r="A26" s="67">
        <v>627</v>
      </c>
      <c r="B26" s="68" t="s">
        <v>100</v>
      </c>
      <c r="C26" s="67">
        <v>1300</v>
      </c>
      <c r="D26" s="354">
        <v>127</v>
      </c>
      <c r="E26" s="69">
        <v>0</v>
      </c>
      <c r="F26" s="67">
        <v>0</v>
      </c>
      <c r="G26" s="67">
        <v>0</v>
      </c>
    </row>
    <row r="27" spans="1:7" ht="12.75">
      <c r="A27" s="67">
        <v>628</v>
      </c>
      <c r="B27" s="68" t="s">
        <v>101</v>
      </c>
      <c r="C27" s="67">
        <v>980</v>
      </c>
      <c r="D27" s="354">
        <v>169</v>
      </c>
      <c r="E27" s="69">
        <v>0</v>
      </c>
      <c r="F27" s="67">
        <v>0</v>
      </c>
      <c r="G27" s="67">
        <v>0</v>
      </c>
    </row>
    <row r="28" spans="1:7" ht="12.75">
      <c r="A28" s="67">
        <v>629</v>
      </c>
      <c r="B28" s="68" t="s">
        <v>102</v>
      </c>
      <c r="C28" s="67">
        <v>941</v>
      </c>
      <c r="D28" s="354">
        <v>174</v>
      </c>
      <c r="E28" s="69">
        <v>0</v>
      </c>
      <c r="F28" s="67">
        <v>0</v>
      </c>
      <c r="G28" s="67">
        <v>0</v>
      </c>
    </row>
    <row r="29" spans="1:7" ht="12.75">
      <c r="A29" s="67">
        <v>630</v>
      </c>
      <c r="B29" s="68" t="s">
        <v>103</v>
      </c>
      <c r="C29" s="67">
        <v>1170</v>
      </c>
      <c r="D29" s="354">
        <v>144</v>
      </c>
      <c r="E29" s="69">
        <v>0</v>
      </c>
      <c r="F29" s="67">
        <v>0</v>
      </c>
      <c r="G29" s="67">
        <v>0</v>
      </c>
    </row>
    <row r="30" spans="1:7" ht="12.75">
      <c r="A30" s="67">
        <v>631</v>
      </c>
      <c r="B30" s="68" t="s">
        <v>104</v>
      </c>
      <c r="C30" s="67">
        <v>1170</v>
      </c>
      <c r="D30" s="354">
        <v>144</v>
      </c>
      <c r="E30" s="69">
        <v>0</v>
      </c>
      <c r="F30" s="67">
        <v>0</v>
      </c>
      <c r="G30" s="67">
        <v>0</v>
      </c>
    </row>
    <row r="31" spans="1:7" ht="12.75">
      <c r="A31" s="67">
        <v>632</v>
      </c>
      <c r="B31" s="68" t="s">
        <v>105</v>
      </c>
      <c r="C31" s="67">
        <v>941</v>
      </c>
      <c r="D31" s="354">
        <v>174</v>
      </c>
      <c r="E31" s="69">
        <v>0</v>
      </c>
      <c r="F31" s="67">
        <v>0</v>
      </c>
      <c r="G31" s="67">
        <v>0</v>
      </c>
    </row>
    <row r="32" spans="1:7" ht="12.75">
      <c r="A32" s="67">
        <v>633</v>
      </c>
      <c r="B32" s="68" t="s">
        <v>106</v>
      </c>
      <c r="C32" s="67">
        <v>941</v>
      </c>
      <c r="D32" s="354">
        <v>174</v>
      </c>
      <c r="E32" s="69">
        <v>0</v>
      </c>
      <c r="F32" s="67">
        <v>0</v>
      </c>
      <c r="G32" s="67">
        <v>0</v>
      </c>
    </row>
    <row r="33" spans="1:7" ht="12.75">
      <c r="A33" s="67">
        <v>634</v>
      </c>
      <c r="B33" s="68" t="s">
        <v>107</v>
      </c>
      <c r="C33" s="67">
        <v>971</v>
      </c>
      <c r="D33" s="354">
        <v>170</v>
      </c>
      <c r="E33" s="69">
        <v>0</v>
      </c>
      <c r="F33" s="67">
        <v>0</v>
      </c>
      <c r="G33" s="67">
        <v>0</v>
      </c>
    </row>
    <row r="34" spans="1:7" ht="12.75">
      <c r="A34" s="67">
        <v>636</v>
      </c>
      <c r="B34" s="68" t="s">
        <v>108</v>
      </c>
      <c r="C34" s="67">
        <v>971</v>
      </c>
      <c r="D34" s="354">
        <v>170</v>
      </c>
      <c r="E34" s="69">
        <v>0</v>
      </c>
      <c r="F34" s="67">
        <v>0</v>
      </c>
      <c r="G34" s="67">
        <v>0</v>
      </c>
    </row>
    <row r="35" spans="1:7" ht="12.75">
      <c r="A35" s="67">
        <v>637</v>
      </c>
      <c r="B35" s="68" t="s">
        <v>109</v>
      </c>
      <c r="C35" s="67">
        <v>971</v>
      </c>
      <c r="D35" s="354">
        <v>170</v>
      </c>
      <c r="E35" s="69">
        <v>0</v>
      </c>
      <c r="F35" s="67">
        <v>0</v>
      </c>
      <c r="G35" s="67">
        <v>0</v>
      </c>
    </row>
    <row r="36" spans="1:7" ht="12.75">
      <c r="A36" s="67">
        <v>638</v>
      </c>
      <c r="B36" s="68" t="s">
        <v>110</v>
      </c>
      <c r="C36" s="67">
        <v>906</v>
      </c>
      <c r="D36" s="354">
        <v>178</v>
      </c>
      <c r="E36" s="69">
        <v>0</v>
      </c>
      <c r="F36" s="67">
        <v>0</v>
      </c>
      <c r="G36" s="67">
        <v>0</v>
      </c>
    </row>
    <row r="37" spans="1:7" ht="12.75">
      <c r="A37" s="67">
        <v>639</v>
      </c>
      <c r="B37" s="68" t="s">
        <v>111</v>
      </c>
      <c r="C37" s="67">
        <v>1300</v>
      </c>
      <c r="D37" s="354">
        <v>127</v>
      </c>
      <c r="E37" s="69">
        <v>0</v>
      </c>
      <c r="F37" s="67">
        <v>0</v>
      </c>
      <c r="G37" s="67">
        <v>0</v>
      </c>
    </row>
    <row r="38" spans="1:7" ht="12.75">
      <c r="A38" s="67">
        <v>640</v>
      </c>
      <c r="B38" s="68" t="s">
        <v>112</v>
      </c>
      <c r="C38" s="67">
        <v>2830</v>
      </c>
      <c r="D38" s="354">
        <v>0</v>
      </c>
      <c r="E38" s="69">
        <v>0</v>
      </c>
      <c r="F38" s="67">
        <v>0</v>
      </c>
      <c r="G38" s="67">
        <v>0</v>
      </c>
    </row>
    <row r="39" spans="1:7" ht="12.75">
      <c r="A39" s="67">
        <v>641</v>
      </c>
      <c r="B39" s="68" t="s">
        <v>113</v>
      </c>
      <c r="C39" s="67">
        <v>1550</v>
      </c>
      <c r="D39" s="354">
        <v>94</v>
      </c>
      <c r="E39" s="69">
        <v>0</v>
      </c>
      <c r="F39" s="67">
        <v>0</v>
      </c>
      <c r="G39" s="67">
        <v>0</v>
      </c>
    </row>
    <row r="40" spans="1:7" ht="12.75">
      <c r="A40" s="67">
        <v>642</v>
      </c>
      <c r="B40" s="68" t="s">
        <v>114</v>
      </c>
      <c r="C40" s="67">
        <v>1170</v>
      </c>
      <c r="D40" s="354">
        <v>144</v>
      </c>
      <c r="E40" s="69">
        <v>0</v>
      </c>
      <c r="F40" s="67">
        <v>0</v>
      </c>
      <c r="G40" s="67">
        <v>0</v>
      </c>
    </row>
    <row r="41" spans="1:7" ht="12.75">
      <c r="A41" s="67">
        <v>643</v>
      </c>
      <c r="B41" s="68" t="s">
        <v>115</v>
      </c>
      <c r="C41" s="67">
        <v>1500</v>
      </c>
      <c r="D41" s="354">
        <v>101</v>
      </c>
      <c r="E41" s="69">
        <v>0</v>
      </c>
      <c r="F41" s="67">
        <v>0</v>
      </c>
      <c r="G41" s="67">
        <v>0</v>
      </c>
    </row>
    <row r="42" spans="1:7" ht="12.75">
      <c r="A42" s="67">
        <v>644</v>
      </c>
      <c r="B42" s="68" t="s">
        <v>116</v>
      </c>
      <c r="C42" s="67">
        <v>2490</v>
      </c>
      <c r="D42" s="354">
        <v>0</v>
      </c>
      <c r="E42" s="69">
        <v>0</v>
      </c>
      <c r="F42" s="67">
        <v>0</v>
      </c>
      <c r="G42" s="67">
        <v>0</v>
      </c>
    </row>
    <row r="43" spans="1:7" ht="12.75">
      <c r="A43" s="67">
        <v>645</v>
      </c>
      <c r="B43" s="68" t="s">
        <v>117</v>
      </c>
      <c r="C43" s="67">
        <v>2329</v>
      </c>
      <c r="D43" s="354">
        <v>0</v>
      </c>
      <c r="E43" s="69">
        <v>0</v>
      </c>
      <c r="F43" s="67">
        <v>0</v>
      </c>
      <c r="G43" s="67">
        <v>0</v>
      </c>
    </row>
    <row r="44" spans="1:7" ht="12.75">
      <c r="A44" s="67">
        <v>646</v>
      </c>
      <c r="B44" s="68" t="s">
        <v>118</v>
      </c>
      <c r="C44" s="67">
        <v>906</v>
      </c>
      <c r="D44" s="354">
        <v>178</v>
      </c>
      <c r="E44" s="69">
        <v>0</v>
      </c>
      <c r="F44" s="67">
        <v>0</v>
      </c>
      <c r="G44" s="67">
        <v>0</v>
      </c>
    </row>
    <row r="45" spans="1:7" ht="12.75">
      <c r="A45" s="67">
        <v>647</v>
      </c>
      <c r="B45" s="68" t="s">
        <v>119</v>
      </c>
      <c r="C45" s="67">
        <v>1830</v>
      </c>
      <c r="D45" s="354">
        <v>58</v>
      </c>
      <c r="E45" s="69">
        <v>0</v>
      </c>
      <c r="F45" s="67">
        <v>0</v>
      </c>
      <c r="G45" s="67">
        <v>0</v>
      </c>
    </row>
    <row r="46" spans="1:7" ht="12.75">
      <c r="A46" s="67">
        <v>648</v>
      </c>
      <c r="B46" s="68" t="s">
        <v>120</v>
      </c>
      <c r="C46" s="67">
        <v>1740</v>
      </c>
      <c r="D46" s="354">
        <v>70</v>
      </c>
      <c r="E46" s="69">
        <v>0</v>
      </c>
      <c r="F46" s="67">
        <v>0</v>
      </c>
      <c r="G46" s="67">
        <v>0</v>
      </c>
    </row>
    <row r="47" spans="1:7" ht="12.75">
      <c r="A47" s="67">
        <v>649</v>
      </c>
      <c r="B47" s="68" t="s">
        <v>121</v>
      </c>
      <c r="C47" s="67">
        <v>971</v>
      </c>
      <c r="D47" s="354">
        <v>170</v>
      </c>
      <c r="E47" s="69">
        <v>0</v>
      </c>
      <c r="F47" s="67">
        <v>0</v>
      </c>
      <c r="G47" s="67">
        <v>0</v>
      </c>
    </row>
    <row r="48" spans="1:7" ht="12.75">
      <c r="A48" s="67">
        <v>650</v>
      </c>
      <c r="B48" s="68" t="s">
        <v>122</v>
      </c>
      <c r="C48" s="67">
        <v>1740</v>
      </c>
      <c r="D48" s="354">
        <v>70</v>
      </c>
      <c r="E48" s="69">
        <v>0</v>
      </c>
      <c r="F48" s="67">
        <v>750</v>
      </c>
      <c r="G48" s="67">
        <v>0</v>
      </c>
    </row>
    <row r="49" spans="1:7" ht="12.75">
      <c r="A49" s="67">
        <v>651</v>
      </c>
      <c r="B49" s="68" t="s">
        <v>123</v>
      </c>
      <c r="C49" s="67">
        <v>971</v>
      </c>
      <c r="D49" s="354">
        <v>170</v>
      </c>
      <c r="E49" s="69">
        <v>0</v>
      </c>
      <c r="F49" s="67">
        <v>0</v>
      </c>
      <c r="G49" s="67">
        <v>0</v>
      </c>
    </row>
    <row r="50" spans="1:7" ht="12.75">
      <c r="A50" s="67">
        <v>652</v>
      </c>
      <c r="B50" s="68" t="s">
        <v>124</v>
      </c>
      <c r="C50" s="67">
        <v>1250</v>
      </c>
      <c r="D50" s="354">
        <v>134</v>
      </c>
      <c r="E50" s="69">
        <v>0</v>
      </c>
      <c r="F50" s="67">
        <v>0</v>
      </c>
      <c r="G50" s="67">
        <v>0</v>
      </c>
    </row>
    <row r="51" spans="1:7" ht="12.75">
      <c r="A51" s="67">
        <v>653</v>
      </c>
      <c r="B51" s="68" t="s">
        <v>125</v>
      </c>
      <c r="C51" s="67">
        <v>1400</v>
      </c>
      <c r="D51" s="354">
        <v>114</v>
      </c>
      <c r="E51" s="69">
        <v>0</v>
      </c>
      <c r="F51" s="67">
        <v>100</v>
      </c>
      <c r="G51" s="67">
        <v>0</v>
      </c>
    </row>
    <row r="52" spans="1:7" ht="12.75">
      <c r="A52" s="67">
        <v>654</v>
      </c>
      <c r="B52" s="68" t="s">
        <v>126</v>
      </c>
      <c r="C52" s="67">
        <v>1690</v>
      </c>
      <c r="D52" s="354">
        <v>76</v>
      </c>
      <c r="E52" s="69">
        <v>0</v>
      </c>
      <c r="F52" s="67">
        <v>300</v>
      </c>
      <c r="G52" s="67">
        <v>0</v>
      </c>
    </row>
    <row r="53" spans="1:7" ht="12.75">
      <c r="A53" s="67">
        <v>655</v>
      </c>
      <c r="B53" s="68" t="s">
        <v>127</v>
      </c>
      <c r="C53" s="67">
        <v>1550</v>
      </c>
      <c r="D53" s="354">
        <v>94</v>
      </c>
      <c r="E53" s="69">
        <v>0</v>
      </c>
      <c r="F53" s="67">
        <v>200</v>
      </c>
      <c r="G53" s="67">
        <v>0</v>
      </c>
    </row>
    <row r="54" spans="1:7" ht="12.75">
      <c r="A54" s="67">
        <v>657</v>
      </c>
      <c r="B54" s="68" t="s">
        <v>128</v>
      </c>
      <c r="C54" s="67">
        <v>1340</v>
      </c>
      <c r="D54" s="354">
        <v>122</v>
      </c>
      <c r="E54" s="69">
        <v>0</v>
      </c>
      <c r="F54" s="67">
        <v>0</v>
      </c>
      <c r="G54" s="67">
        <v>0</v>
      </c>
    </row>
    <row r="55" spans="1:7" ht="12.75">
      <c r="A55" s="67">
        <v>658</v>
      </c>
      <c r="B55" s="68" t="s">
        <v>129</v>
      </c>
      <c r="C55" s="67">
        <v>1300</v>
      </c>
      <c r="D55" s="354">
        <v>127</v>
      </c>
      <c r="E55" s="69">
        <v>0</v>
      </c>
      <c r="F55" s="67">
        <v>0</v>
      </c>
      <c r="G55" s="67">
        <v>0</v>
      </c>
    </row>
    <row r="56" spans="1:7" ht="12.75">
      <c r="A56" s="67">
        <v>659</v>
      </c>
      <c r="B56" s="68" t="s">
        <v>130</v>
      </c>
      <c r="C56" s="67">
        <v>1340</v>
      </c>
      <c r="D56" s="354">
        <v>122</v>
      </c>
      <c r="E56" s="69">
        <v>0</v>
      </c>
      <c r="F56" s="67">
        <v>0</v>
      </c>
      <c r="G56" s="67">
        <v>0</v>
      </c>
    </row>
    <row r="57" spans="1:7" ht="12.75">
      <c r="A57" s="67">
        <v>660</v>
      </c>
      <c r="B57" s="68" t="s">
        <v>131</v>
      </c>
      <c r="C57" s="67">
        <v>1300</v>
      </c>
      <c r="D57" s="354">
        <v>127</v>
      </c>
      <c r="E57" s="69">
        <v>0</v>
      </c>
      <c r="F57" s="67">
        <v>0</v>
      </c>
      <c r="G57" s="67">
        <v>0</v>
      </c>
    </row>
    <row r="58" spans="1:7" ht="12.75">
      <c r="A58" s="67">
        <v>661</v>
      </c>
      <c r="B58" s="68" t="s">
        <v>132</v>
      </c>
      <c r="C58" s="67">
        <v>1300</v>
      </c>
      <c r="D58" s="354">
        <v>127</v>
      </c>
      <c r="E58" s="69">
        <v>0</v>
      </c>
      <c r="F58" s="67">
        <v>0</v>
      </c>
      <c r="G58" s="67">
        <v>0</v>
      </c>
    </row>
    <row r="59" spans="1:7" ht="12.75">
      <c r="A59" s="67">
        <v>662</v>
      </c>
      <c r="B59" s="68" t="s">
        <v>133</v>
      </c>
      <c r="C59" s="67">
        <v>1690</v>
      </c>
      <c r="D59" s="354">
        <v>76</v>
      </c>
      <c r="E59" s="69">
        <v>0</v>
      </c>
      <c r="F59" s="67">
        <v>708</v>
      </c>
      <c r="G59" s="67">
        <v>0</v>
      </c>
    </row>
    <row r="60" spans="1:7" ht="12.75">
      <c r="A60" s="67">
        <v>663</v>
      </c>
      <c r="B60" s="68" t="s">
        <v>134</v>
      </c>
      <c r="C60" s="67">
        <v>1500</v>
      </c>
      <c r="D60" s="354">
        <v>101</v>
      </c>
      <c r="E60" s="69">
        <v>0</v>
      </c>
      <c r="F60" s="67">
        <v>0</v>
      </c>
      <c r="G60" s="67">
        <v>0</v>
      </c>
    </row>
    <row r="61" spans="1:7" ht="12.75">
      <c r="A61" s="67">
        <v>664</v>
      </c>
      <c r="B61" s="68" t="s">
        <v>135</v>
      </c>
      <c r="C61" s="67">
        <v>971</v>
      </c>
      <c r="D61" s="354">
        <v>170</v>
      </c>
      <c r="E61" s="69">
        <v>0</v>
      </c>
      <c r="F61" s="67">
        <v>620</v>
      </c>
      <c r="G61" s="67">
        <v>0</v>
      </c>
    </row>
    <row r="62" spans="1:7" ht="12.75">
      <c r="A62" s="67">
        <v>667</v>
      </c>
      <c r="B62" s="68" t="s">
        <v>136</v>
      </c>
      <c r="C62" s="67">
        <v>2000</v>
      </c>
      <c r="D62" s="354">
        <v>36</v>
      </c>
      <c r="E62" s="69">
        <v>0</v>
      </c>
      <c r="F62" s="67">
        <v>830</v>
      </c>
      <c r="G62" s="67">
        <v>0</v>
      </c>
    </row>
    <row r="63" spans="1:7" ht="12.75">
      <c r="A63" s="67">
        <v>668</v>
      </c>
      <c r="B63" s="68" t="s">
        <v>137</v>
      </c>
      <c r="C63" s="67">
        <v>1840</v>
      </c>
      <c r="D63" s="354">
        <v>57</v>
      </c>
      <c r="E63" s="69">
        <v>0</v>
      </c>
      <c r="F63" s="67">
        <v>830</v>
      </c>
      <c r="G63" s="67">
        <v>0</v>
      </c>
    </row>
    <row r="64" spans="1:7" ht="12.75">
      <c r="A64" s="67">
        <v>669</v>
      </c>
      <c r="B64" s="68" t="s">
        <v>138</v>
      </c>
      <c r="C64" s="67">
        <v>1680</v>
      </c>
      <c r="D64" s="354">
        <v>77</v>
      </c>
      <c r="E64" s="69">
        <v>0</v>
      </c>
      <c r="F64" s="67">
        <v>830</v>
      </c>
      <c r="G64" s="67">
        <v>0</v>
      </c>
    </row>
    <row r="65" spans="1:7" ht="12.75">
      <c r="A65" s="67">
        <v>670</v>
      </c>
      <c r="B65" s="68" t="s">
        <v>139</v>
      </c>
      <c r="C65" s="67">
        <v>1740</v>
      </c>
      <c r="D65" s="354">
        <v>70</v>
      </c>
      <c r="E65" s="69">
        <v>0</v>
      </c>
      <c r="F65" s="67">
        <v>750</v>
      </c>
      <c r="G65" s="67">
        <v>0</v>
      </c>
    </row>
    <row r="66" spans="1:7" ht="12.75">
      <c r="A66" s="67">
        <v>671</v>
      </c>
      <c r="B66" s="68" t="s">
        <v>140</v>
      </c>
      <c r="C66" s="67">
        <v>1610</v>
      </c>
      <c r="D66" s="354">
        <v>87</v>
      </c>
      <c r="E66" s="69">
        <v>0</v>
      </c>
      <c r="F66" s="67">
        <v>750</v>
      </c>
      <c r="G66" s="67">
        <v>0</v>
      </c>
    </row>
    <row r="67" spans="1:7" ht="12.75">
      <c r="A67" s="67">
        <v>672</v>
      </c>
      <c r="B67" s="68" t="s">
        <v>141</v>
      </c>
      <c r="C67" s="67">
        <v>2000</v>
      </c>
      <c r="D67" s="354">
        <v>36</v>
      </c>
      <c r="E67" s="69">
        <v>0</v>
      </c>
      <c r="F67" s="67">
        <v>300</v>
      </c>
      <c r="G67" s="67">
        <v>0</v>
      </c>
    </row>
    <row r="68" spans="1:7" ht="12.75">
      <c r="A68" s="67">
        <v>673</v>
      </c>
      <c r="B68" s="68" t="s">
        <v>142</v>
      </c>
      <c r="C68" s="67">
        <v>1840</v>
      </c>
      <c r="D68" s="354">
        <v>57</v>
      </c>
      <c r="E68" s="69">
        <v>0</v>
      </c>
      <c r="F68" s="67">
        <v>300</v>
      </c>
      <c r="G68" s="67">
        <v>0</v>
      </c>
    </row>
    <row r="69" spans="1:7" ht="12.75">
      <c r="A69" s="67">
        <v>674</v>
      </c>
      <c r="B69" s="68" t="s">
        <v>143</v>
      </c>
      <c r="C69" s="67">
        <v>1680</v>
      </c>
      <c r="D69" s="354">
        <v>77</v>
      </c>
      <c r="E69" s="69">
        <v>0</v>
      </c>
      <c r="F69" s="67">
        <v>300</v>
      </c>
      <c r="G69" s="67">
        <v>0</v>
      </c>
    </row>
    <row r="70" spans="1:7" ht="12.75">
      <c r="A70" s="67">
        <v>675</v>
      </c>
      <c r="B70" s="68" t="s">
        <v>144</v>
      </c>
      <c r="C70" s="67">
        <v>1740</v>
      </c>
      <c r="D70" s="354">
        <v>70</v>
      </c>
      <c r="E70" s="69">
        <v>0</v>
      </c>
      <c r="F70" s="67">
        <v>725</v>
      </c>
      <c r="G70" s="67">
        <v>0</v>
      </c>
    </row>
    <row r="71" spans="1:7" ht="12.75">
      <c r="A71" s="67">
        <v>676</v>
      </c>
      <c r="B71" s="68" t="s">
        <v>145</v>
      </c>
      <c r="C71" s="67">
        <v>1610</v>
      </c>
      <c r="D71" s="354">
        <v>87</v>
      </c>
      <c r="E71" s="69">
        <v>0</v>
      </c>
      <c r="F71" s="67">
        <v>725</v>
      </c>
      <c r="G71" s="67">
        <v>0</v>
      </c>
    </row>
    <row r="72" spans="1:7" ht="12.75">
      <c r="A72" s="67">
        <v>677</v>
      </c>
      <c r="B72" s="68" t="s">
        <v>146</v>
      </c>
      <c r="C72" s="67">
        <v>1500</v>
      </c>
      <c r="D72" s="354">
        <v>101</v>
      </c>
      <c r="E72" s="69">
        <v>0</v>
      </c>
      <c r="F72" s="67">
        <v>725</v>
      </c>
      <c r="G72" s="67">
        <v>0</v>
      </c>
    </row>
    <row r="73" spans="1:7" ht="12.75">
      <c r="A73" s="67">
        <v>678</v>
      </c>
      <c r="B73" s="68" t="s">
        <v>147</v>
      </c>
      <c r="C73" s="67">
        <v>1320</v>
      </c>
      <c r="D73" s="354">
        <v>124</v>
      </c>
      <c r="E73" s="69">
        <v>0</v>
      </c>
      <c r="F73" s="67">
        <v>590</v>
      </c>
      <c r="G73" s="67">
        <v>0</v>
      </c>
    </row>
    <row r="74" spans="1:7" ht="12.75">
      <c r="A74" s="67">
        <v>679</v>
      </c>
      <c r="B74" s="68" t="s">
        <v>148</v>
      </c>
      <c r="C74" s="67">
        <v>1690</v>
      </c>
      <c r="D74" s="354">
        <v>76</v>
      </c>
      <c r="E74" s="69">
        <v>0</v>
      </c>
      <c r="F74" s="67">
        <v>708</v>
      </c>
      <c r="G74" s="67">
        <v>0</v>
      </c>
    </row>
    <row r="75" spans="1:7" ht="12.75">
      <c r="A75" s="67">
        <v>680</v>
      </c>
      <c r="B75" s="68" t="s">
        <v>149</v>
      </c>
      <c r="C75" s="67">
        <v>1550</v>
      </c>
      <c r="D75" s="354">
        <v>94</v>
      </c>
      <c r="E75" s="69">
        <v>0</v>
      </c>
      <c r="F75" s="67">
        <v>708</v>
      </c>
      <c r="G75" s="67">
        <v>0</v>
      </c>
    </row>
    <row r="76" spans="1:7" ht="12.75">
      <c r="A76" s="67">
        <v>681</v>
      </c>
      <c r="B76" s="68" t="s">
        <v>150</v>
      </c>
      <c r="C76" s="67">
        <v>1400</v>
      </c>
      <c r="D76" s="354">
        <v>114</v>
      </c>
      <c r="E76" s="69">
        <v>0</v>
      </c>
      <c r="F76" s="67">
        <v>708</v>
      </c>
      <c r="G76" s="67">
        <v>0</v>
      </c>
    </row>
    <row r="77" spans="1:7" ht="12.75">
      <c r="A77" s="67">
        <v>682</v>
      </c>
      <c r="B77" s="70" t="s">
        <v>151</v>
      </c>
      <c r="C77" s="67">
        <v>1170</v>
      </c>
      <c r="D77" s="354">
        <v>144</v>
      </c>
      <c r="E77" s="69">
        <v>0</v>
      </c>
      <c r="F77" s="67">
        <v>580</v>
      </c>
      <c r="G77" s="67">
        <v>0</v>
      </c>
    </row>
    <row r="78" spans="1:7" ht="12.75">
      <c r="A78" s="67">
        <v>683</v>
      </c>
      <c r="B78" s="70" t="s">
        <v>152</v>
      </c>
      <c r="C78" s="67">
        <v>1170</v>
      </c>
      <c r="D78" s="354">
        <v>144</v>
      </c>
      <c r="E78" s="69">
        <v>0</v>
      </c>
      <c r="F78" s="67">
        <v>580</v>
      </c>
      <c r="G78" s="67">
        <v>0</v>
      </c>
    </row>
    <row r="79" spans="1:7" ht="12.75">
      <c r="A79" s="67">
        <v>684</v>
      </c>
      <c r="B79" s="68" t="s">
        <v>153</v>
      </c>
      <c r="C79" s="67">
        <v>1170</v>
      </c>
      <c r="D79" s="354">
        <v>144</v>
      </c>
      <c r="E79" s="69">
        <v>0</v>
      </c>
      <c r="F79" s="67">
        <v>580</v>
      </c>
      <c r="G79" s="67">
        <v>0</v>
      </c>
    </row>
    <row r="80" spans="1:7" ht="12.75">
      <c r="A80" s="67">
        <v>685</v>
      </c>
      <c r="B80" s="68" t="s">
        <v>154</v>
      </c>
      <c r="C80" s="67">
        <v>1500</v>
      </c>
      <c r="D80" s="354">
        <v>101</v>
      </c>
      <c r="E80" s="69">
        <v>0</v>
      </c>
      <c r="F80" s="67">
        <v>750</v>
      </c>
      <c r="G80" s="67">
        <v>0</v>
      </c>
    </row>
    <row r="81" spans="1:7" ht="12.75">
      <c r="A81" s="67">
        <v>686</v>
      </c>
      <c r="B81" s="68" t="s">
        <v>155</v>
      </c>
      <c r="C81" s="67">
        <v>2000</v>
      </c>
      <c r="D81" s="354">
        <v>36</v>
      </c>
      <c r="E81" s="69">
        <v>0</v>
      </c>
      <c r="F81" s="67">
        <v>600</v>
      </c>
      <c r="G81" s="67">
        <v>0</v>
      </c>
    </row>
    <row r="82" spans="1:7" ht="12.75">
      <c r="A82" s="67">
        <v>687</v>
      </c>
      <c r="B82" s="68" t="s">
        <v>156</v>
      </c>
      <c r="C82" s="67">
        <v>1840</v>
      </c>
      <c r="D82" s="354">
        <v>57</v>
      </c>
      <c r="E82" s="69">
        <v>0</v>
      </c>
      <c r="F82" s="67">
        <v>600</v>
      </c>
      <c r="G82" s="67">
        <v>0</v>
      </c>
    </row>
    <row r="83" spans="1:7" ht="12.75">
      <c r="A83" s="67">
        <v>688</v>
      </c>
      <c r="B83" s="68" t="s">
        <v>157</v>
      </c>
      <c r="C83" s="67">
        <v>1680</v>
      </c>
      <c r="D83" s="354">
        <v>77</v>
      </c>
      <c r="E83" s="69">
        <v>0</v>
      </c>
      <c r="F83" s="67">
        <v>600</v>
      </c>
      <c r="G83" s="67">
        <v>0</v>
      </c>
    </row>
    <row r="84" spans="1:7" ht="12.75">
      <c r="A84" s="67">
        <v>689</v>
      </c>
      <c r="B84" s="70" t="s">
        <v>158</v>
      </c>
      <c r="C84" s="67">
        <v>1170</v>
      </c>
      <c r="D84" s="354">
        <v>144</v>
      </c>
      <c r="E84" s="69">
        <v>0</v>
      </c>
      <c r="F84" s="67">
        <v>580</v>
      </c>
      <c r="G84" s="67">
        <v>0</v>
      </c>
    </row>
    <row r="85" spans="1:7" ht="12.75">
      <c r="A85" s="67">
        <v>691</v>
      </c>
      <c r="B85" s="68" t="s">
        <v>159</v>
      </c>
      <c r="C85" s="67">
        <v>1500</v>
      </c>
      <c r="D85" s="354">
        <v>101</v>
      </c>
      <c r="E85" s="69">
        <v>0</v>
      </c>
      <c r="F85" s="67">
        <v>750</v>
      </c>
      <c r="G85" s="67">
        <v>0</v>
      </c>
    </row>
    <row r="86" spans="1:7" ht="12.75">
      <c r="A86" s="67">
        <v>692</v>
      </c>
      <c r="B86" s="68" t="s">
        <v>160</v>
      </c>
      <c r="C86" s="67">
        <v>1690</v>
      </c>
      <c r="D86" s="354">
        <v>76</v>
      </c>
      <c r="E86" s="69">
        <v>0</v>
      </c>
      <c r="F86" s="67">
        <v>620</v>
      </c>
      <c r="G86" s="67">
        <v>0</v>
      </c>
    </row>
    <row r="87" spans="1:7" ht="12.75">
      <c r="A87" s="67">
        <v>693</v>
      </c>
      <c r="B87" s="68" t="s">
        <v>161</v>
      </c>
      <c r="C87" s="67">
        <v>1550</v>
      </c>
      <c r="D87" s="354">
        <v>94</v>
      </c>
      <c r="E87" s="69">
        <v>0</v>
      </c>
      <c r="F87" s="67">
        <v>620</v>
      </c>
      <c r="G87" s="67">
        <v>0</v>
      </c>
    </row>
    <row r="88" spans="1:7" ht="12.75">
      <c r="A88" s="67">
        <v>694</v>
      </c>
      <c r="B88" s="68" t="s">
        <v>162</v>
      </c>
      <c r="C88" s="67">
        <v>1400</v>
      </c>
      <c r="D88" s="354">
        <v>114</v>
      </c>
      <c r="E88" s="69">
        <v>0</v>
      </c>
      <c r="F88" s="67">
        <v>620</v>
      </c>
      <c r="G88" s="67">
        <v>0</v>
      </c>
    </row>
    <row r="89" spans="1:7" ht="12.75">
      <c r="A89" s="67">
        <v>695</v>
      </c>
      <c r="B89" s="68" t="s">
        <v>163</v>
      </c>
      <c r="C89" s="67">
        <v>906</v>
      </c>
      <c r="D89" s="354">
        <v>178</v>
      </c>
      <c r="E89" s="69">
        <v>0</v>
      </c>
      <c r="F89" s="67">
        <v>0</v>
      </c>
      <c r="G89" s="67">
        <v>0</v>
      </c>
    </row>
    <row r="90" spans="1:7" ht="12.75">
      <c r="A90" s="67">
        <v>696</v>
      </c>
      <c r="B90" s="68" t="s">
        <v>164</v>
      </c>
      <c r="C90" s="67">
        <v>1500</v>
      </c>
      <c r="D90" s="354">
        <v>101</v>
      </c>
      <c r="E90" s="69">
        <v>0</v>
      </c>
      <c r="F90" s="67">
        <v>0</v>
      </c>
      <c r="G90" s="67">
        <v>0</v>
      </c>
    </row>
    <row r="91" spans="1:7" ht="12.75">
      <c r="A91" s="67">
        <v>697</v>
      </c>
      <c r="B91" s="68" t="s">
        <v>165</v>
      </c>
      <c r="C91" s="67">
        <v>1500</v>
      </c>
      <c r="D91" s="354">
        <v>101</v>
      </c>
      <c r="E91" s="69">
        <v>0</v>
      </c>
      <c r="F91" s="67">
        <v>0</v>
      </c>
      <c r="G91" s="67">
        <v>0</v>
      </c>
    </row>
    <row r="92" spans="1:7" ht="12.75">
      <c r="A92" s="67">
        <v>698</v>
      </c>
      <c r="B92" s="68" t="s">
        <v>166</v>
      </c>
      <c r="C92" s="67">
        <v>1690</v>
      </c>
      <c r="D92" s="354">
        <v>76</v>
      </c>
      <c r="E92" s="69">
        <v>0</v>
      </c>
      <c r="F92" s="67">
        <v>0</v>
      </c>
      <c r="G92" s="67">
        <v>0</v>
      </c>
    </row>
    <row r="93" spans="1:7" ht="12.75">
      <c r="A93" s="67">
        <v>699</v>
      </c>
      <c r="B93" s="68" t="s">
        <v>167</v>
      </c>
      <c r="C93" s="67">
        <v>1550</v>
      </c>
      <c r="D93" s="354">
        <v>94</v>
      </c>
      <c r="E93" s="69">
        <v>0</v>
      </c>
      <c r="F93" s="67">
        <v>0</v>
      </c>
      <c r="G93" s="67">
        <v>0</v>
      </c>
    </row>
    <row r="94" spans="1:7" ht="12.75">
      <c r="A94" s="67">
        <v>702</v>
      </c>
      <c r="B94" s="68" t="s">
        <v>168</v>
      </c>
      <c r="C94" s="67">
        <v>971</v>
      </c>
      <c r="D94" s="354">
        <v>170</v>
      </c>
      <c r="E94" s="69">
        <v>0</v>
      </c>
      <c r="F94" s="67">
        <v>0</v>
      </c>
      <c r="G94" s="67">
        <v>0</v>
      </c>
    </row>
    <row r="95" spans="1:7" ht="12.75">
      <c r="A95" s="67">
        <v>703</v>
      </c>
      <c r="B95" s="68" t="s">
        <v>169</v>
      </c>
      <c r="C95" s="67">
        <v>3429</v>
      </c>
      <c r="D95" s="354">
        <v>0</v>
      </c>
      <c r="E95" s="69">
        <v>0</v>
      </c>
      <c r="F95" s="67">
        <v>0</v>
      </c>
      <c r="G95" s="67">
        <v>0</v>
      </c>
    </row>
    <row r="96" spans="1:7" ht="12.75">
      <c r="A96" s="67">
        <v>704</v>
      </c>
      <c r="B96" s="68" t="s">
        <v>170</v>
      </c>
      <c r="C96" s="67">
        <v>1500</v>
      </c>
      <c r="D96" s="354">
        <v>101</v>
      </c>
      <c r="E96" s="69">
        <v>0</v>
      </c>
      <c r="F96" s="67">
        <v>0</v>
      </c>
      <c r="G96" s="67">
        <v>0</v>
      </c>
    </row>
    <row r="97" spans="1:7" ht="12.75">
      <c r="A97" s="67">
        <v>705</v>
      </c>
      <c r="B97" s="68" t="s">
        <v>171</v>
      </c>
      <c r="C97" s="67">
        <v>1592</v>
      </c>
      <c r="D97" s="354">
        <v>89</v>
      </c>
      <c r="E97" s="69">
        <v>0</v>
      </c>
      <c r="F97" s="67">
        <v>0</v>
      </c>
      <c r="G97" s="67">
        <v>0</v>
      </c>
    </row>
    <row r="98" spans="1:7" ht="12.75">
      <c r="A98" s="67">
        <v>706</v>
      </c>
      <c r="B98" s="68" t="s">
        <v>172</v>
      </c>
      <c r="C98" s="67">
        <v>2482</v>
      </c>
      <c r="D98" s="354">
        <v>0</v>
      </c>
      <c r="E98" s="69">
        <v>0</v>
      </c>
      <c r="F98" s="67">
        <v>0</v>
      </c>
      <c r="G98" s="67">
        <v>0</v>
      </c>
    </row>
    <row r="99" spans="1:7" ht="12.75">
      <c r="A99" s="67">
        <v>708</v>
      </c>
      <c r="B99" s="68" t="s">
        <v>173</v>
      </c>
      <c r="C99" s="67">
        <v>3146</v>
      </c>
      <c r="D99" s="354">
        <v>0</v>
      </c>
      <c r="E99" s="69">
        <v>0</v>
      </c>
      <c r="F99" s="67">
        <v>0</v>
      </c>
      <c r="G99" s="67">
        <v>0</v>
      </c>
    </row>
    <row r="100" spans="1:7" ht="12.75">
      <c r="A100" s="67">
        <v>709</v>
      </c>
      <c r="B100" s="68" t="s">
        <v>174</v>
      </c>
      <c r="C100" s="67">
        <v>2913</v>
      </c>
      <c r="D100" s="354">
        <v>0</v>
      </c>
      <c r="E100" s="69">
        <v>0</v>
      </c>
      <c r="F100" s="67">
        <v>0</v>
      </c>
      <c r="G100" s="67">
        <v>0</v>
      </c>
    </row>
    <row r="101" spans="1:7" ht="12.75">
      <c r="A101" s="67">
        <v>710</v>
      </c>
      <c r="B101" s="68" t="s">
        <v>175</v>
      </c>
      <c r="C101" s="67">
        <v>2913</v>
      </c>
      <c r="D101" s="354">
        <v>0</v>
      </c>
      <c r="E101" s="69">
        <v>20</v>
      </c>
      <c r="F101" s="67">
        <v>0</v>
      </c>
      <c r="G101" s="67">
        <v>0</v>
      </c>
    </row>
    <row r="102" spans="1:7" ht="12.75">
      <c r="A102" s="67">
        <v>711</v>
      </c>
      <c r="B102" s="68" t="s">
        <v>176</v>
      </c>
      <c r="C102" s="67">
        <v>2913</v>
      </c>
      <c r="D102" s="354">
        <v>0</v>
      </c>
      <c r="E102" s="69">
        <v>0</v>
      </c>
      <c r="F102" s="67">
        <v>0</v>
      </c>
      <c r="G102" s="67">
        <v>0</v>
      </c>
    </row>
    <row r="103" spans="1:7" ht="12.75">
      <c r="A103" s="67">
        <v>712</v>
      </c>
      <c r="B103" s="68" t="s">
        <v>177</v>
      </c>
      <c r="C103" s="67">
        <v>2913</v>
      </c>
      <c r="D103" s="354">
        <v>0</v>
      </c>
      <c r="E103" s="69">
        <v>0</v>
      </c>
      <c r="F103" s="67">
        <v>0</v>
      </c>
      <c r="G103" s="67">
        <v>0</v>
      </c>
    </row>
    <row r="104" spans="1:7" ht="12.75">
      <c r="A104" s="67">
        <v>713</v>
      </c>
      <c r="B104" s="68" t="s">
        <v>178</v>
      </c>
      <c r="C104" s="67">
        <v>2913</v>
      </c>
      <c r="D104" s="354">
        <v>0</v>
      </c>
      <c r="E104" s="69">
        <v>0</v>
      </c>
      <c r="F104" s="67">
        <v>0</v>
      </c>
      <c r="G104" s="67">
        <v>0</v>
      </c>
    </row>
    <row r="105" spans="1:7" ht="12.75">
      <c r="A105" s="67">
        <v>714</v>
      </c>
      <c r="B105" s="68" t="s">
        <v>179</v>
      </c>
      <c r="C105" s="67">
        <v>2913</v>
      </c>
      <c r="D105" s="354">
        <v>0</v>
      </c>
      <c r="E105" s="69">
        <v>0</v>
      </c>
      <c r="F105" s="67">
        <v>0</v>
      </c>
      <c r="G105" s="67">
        <v>0</v>
      </c>
    </row>
    <row r="106" spans="1:7" ht="12.75">
      <c r="A106" s="67">
        <v>715</v>
      </c>
      <c r="B106" s="68" t="s">
        <v>180</v>
      </c>
      <c r="C106" s="67">
        <v>1912</v>
      </c>
      <c r="D106" s="354">
        <v>47</v>
      </c>
      <c r="E106" s="69">
        <v>0</v>
      </c>
      <c r="F106" s="67">
        <v>42</v>
      </c>
      <c r="G106" s="67">
        <v>0</v>
      </c>
    </row>
    <row r="107" spans="1:7" ht="12.75">
      <c r="A107" s="67">
        <v>716</v>
      </c>
      <c r="B107" s="68" t="s">
        <v>181</v>
      </c>
      <c r="C107" s="67">
        <v>1942</v>
      </c>
      <c r="D107" s="354">
        <v>43</v>
      </c>
      <c r="E107" s="69">
        <v>0</v>
      </c>
      <c r="F107" s="67">
        <v>0</v>
      </c>
      <c r="G107" s="67">
        <v>0</v>
      </c>
    </row>
    <row r="108" spans="1:7" ht="12.75">
      <c r="A108" s="67">
        <v>717</v>
      </c>
      <c r="B108" s="68" t="s">
        <v>182</v>
      </c>
      <c r="C108" s="67">
        <v>2100</v>
      </c>
      <c r="D108" s="354">
        <v>23</v>
      </c>
      <c r="E108" s="69">
        <v>150</v>
      </c>
      <c r="F108" s="67">
        <v>0</v>
      </c>
      <c r="G108" s="67">
        <v>0</v>
      </c>
    </row>
    <row r="109" spans="1:7" ht="12.75">
      <c r="A109" s="67">
        <v>718</v>
      </c>
      <c r="B109" s="68" t="s">
        <v>183</v>
      </c>
      <c r="C109" s="67">
        <v>1942</v>
      </c>
      <c r="D109" s="354">
        <v>43</v>
      </c>
      <c r="E109" s="69">
        <v>17</v>
      </c>
      <c r="F109" s="67">
        <v>0</v>
      </c>
      <c r="G109" s="67">
        <v>0</v>
      </c>
    </row>
    <row r="110" spans="1:7" ht="12.75">
      <c r="A110" s="67">
        <v>719</v>
      </c>
      <c r="B110" s="68" t="s">
        <v>184</v>
      </c>
      <c r="C110" s="67">
        <v>1782</v>
      </c>
      <c r="D110" s="354">
        <v>64</v>
      </c>
      <c r="E110" s="69">
        <v>0</v>
      </c>
      <c r="F110" s="67">
        <v>0</v>
      </c>
      <c r="G110" s="67">
        <v>0</v>
      </c>
    </row>
    <row r="111" spans="1:7" ht="12.75">
      <c r="A111" s="67">
        <v>720</v>
      </c>
      <c r="B111" s="68" t="s">
        <v>185</v>
      </c>
      <c r="C111" s="67">
        <v>1782</v>
      </c>
      <c r="D111" s="354">
        <v>64</v>
      </c>
      <c r="E111" s="69">
        <v>17</v>
      </c>
      <c r="F111" s="67">
        <v>0</v>
      </c>
      <c r="G111" s="67">
        <v>0</v>
      </c>
    </row>
    <row r="112" spans="1:7" ht="12.75">
      <c r="A112" s="67">
        <v>721</v>
      </c>
      <c r="B112" s="68" t="s">
        <v>186</v>
      </c>
      <c r="C112" s="67">
        <v>1942</v>
      </c>
      <c r="D112" s="354">
        <v>43</v>
      </c>
      <c r="E112" s="69">
        <v>150</v>
      </c>
      <c r="F112" s="67">
        <v>0</v>
      </c>
      <c r="G112" s="67">
        <v>0</v>
      </c>
    </row>
    <row r="113" spans="1:7" ht="12.75">
      <c r="A113" s="67">
        <v>722</v>
      </c>
      <c r="B113" s="68" t="s">
        <v>187</v>
      </c>
      <c r="C113" s="67">
        <v>1692</v>
      </c>
      <c r="D113" s="354">
        <v>76</v>
      </c>
      <c r="E113" s="69">
        <v>0</v>
      </c>
      <c r="F113" s="67">
        <v>0</v>
      </c>
      <c r="G113" s="67">
        <v>0</v>
      </c>
    </row>
    <row r="114" spans="1:7" ht="12.75">
      <c r="A114" s="67">
        <v>723</v>
      </c>
      <c r="B114" s="68" t="s">
        <v>188</v>
      </c>
      <c r="C114" s="67">
        <v>1700</v>
      </c>
      <c r="D114" s="354">
        <v>75</v>
      </c>
      <c r="E114" s="69">
        <v>0</v>
      </c>
      <c r="F114" s="67">
        <v>0</v>
      </c>
      <c r="G114" s="67">
        <v>0</v>
      </c>
    </row>
    <row r="115" spans="1:7" ht="12.75">
      <c r="A115" s="67">
        <v>724</v>
      </c>
      <c r="B115" s="68" t="s">
        <v>189</v>
      </c>
      <c r="C115" s="67">
        <v>1942</v>
      </c>
      <c r="D115" s="354">
        <v>43</v>
      </c>
      <c r="E115" s="69">
        <v>150</v>
      </c>
      <c r="F115" s="67">
        <v>0</v>
      </c>
      <c r="G115" s="67">
        <v>0</v>
      </c>
    </row>
    <row r="116" spans="1:7" ht="12.75">
      <c r="A116" s="67">
        <v>725</v>
      </c>
      <c r="B116" s="68" t="s">
        <v>190</v>
      </c>
      <c r="C116" s="67">
        <v>1592</v>
      </c>
      <c r="D116" s="354">
        <v>89</v>
      </c>
      <c r="E116" s="69">
        <v>0</v>
      </c>
      <c r="F116" s="67">
        <v>0</v>
      </c>
      <c r="G116" s="67">
        <v>0</v>
      </c>
    </row>
    <row r="117" spans="1:7" ht="12.75">
      <c r="A117" s="67">
        <v>726</v>
      </c>
      <c r="B117" s="68" t="s">
        <v>191</v>
      </c>
      <c r="C117" s="67">
        <v>1500</v>
      </c>
      <c r="D117" s="354">
        <v>101</v>
      </c>
      <c r="E117" s="69">
        <v>150</v>
      </c>
      <c r="F117" s="67">
        <v>0</v>
      </c>
      <c r="G117" s="67">
        <v>0</v>
      </c>
    </row>
    <row r="118" spans="1:7" ht="12.75">
      <c r="A118" s="71">
        <v>727</v>
      </c>
      <c r="B118" s="72" t="s">
        <v>192</v>
      </c>
      <c r="C118" s="71">
        <v>1600</v>
      </c>
      <c r="D118" s="354">
        <v>88</v>
      </c>
      <c r="E118" s="73">
        <v>0</v>
      </c>
      <c r="F118" s="71">
        <v>0</v>
      </c>
      <c r="G118" s="71">
        <v>0</v>
      </c>
    </row>
    <row r="119" spans="1:7" ht="12.75">
      <c r="A119" s="67">
        <v>728</v>
      </c>
      <c r="B119" s="68" t="s">
        <v>193</v>
      </c>
      <c r="C119" s="67">
        <v>1360</v>
      </c>
      <c r="D119" s="354">
        <v>120</v>
      </c>
      <c r="E119" s="69">
        <v>17</v>
      </c>
      <c r="F119" s="67">
        <v>0</v>
      </c>
      <c r="G119" s="67">
        <v>0</v>
      </c>
    </row>
    <row r="120" spans="1:7" ht="12.75">
      <c r="A120" s="67">
        <v>729</v>
      </c>
      <c r="B120" s="68" t="s">
        <v>194</v>
      </c>
      <c r="C120" s="67">
        <v>1692</v>
      </c>
      <c r="D120" s="354">
        <v>76</v>
      </c>
      <c r="E120" s="69">
        <v>0</v>
      </c>
      <c r="F120" s="67">
        <v>0</v>
      </c>
      <c r="G120" s="67">
        <v>0</v>
      </c>
    </row>
    <row r="121" spans="1:7" ht="12.75">
      <c r="A121" s="67">
        <v>730</v>
      </c>
      <c r="B121" s="68" t="s">
        <v>195</v>
      </c>
      <c r="C121" s="67">
        <v>1700</v>
      </c>
      <c r="D121" s="354">
        <v>75</v>
      </c>
      <c r="E121" s="69">
        <v>0</v>
      </c>
      <c r="F121" s="67">
        <v>0</v>
      </c>
      <c r="G121" s="67">
        <v>0</v>
      </c>
    </row>
    <row r="122" spans="1:7" ht="12.75">
      <c r="A122" s="67">
        <v>731</v>
      </c>
      <c r="B122" s="68" t="s">
        <v>196</v>
      </c>
      <c r="C122" s="67">
        <v>1592</v>
      </c>
      <c r="D122" s="354">
        <v>89</v>
      </c>
      <c r="E122" s="69">
        <v>0</v>
      </c>
      <c r="F122" s="67">
        <v>0</v>
      </c>
      <c r="G122" s="67">
        <v>0</v>
      </c>
    </row>
    <row r="123" spans="1:7" ht="12.75">
      <c r="A123" s="67">
        <v>732</v>
      </c>
      <c r="B123" s="68" t="s">
        <v>197</v>
      </c>
      <c r="C123" s="67">
        <v>971</v>
      </c>
      <c r="D123" s="354">
        <v>170</v>
      </c>
      <c r="E123" s="69">
        <v>150</v>
      </c>
      <c r="F123" s="67">
        <v>0</v>
      </c>
      <c r="G123" s="67">
        <v>0</v>
      </c>
    </row>
    <row r="124" spans="1:7" ht="12.75">
      <c r="A124" s="67">
        <v>733</v>
      </c>
      <c r="B124" s="68" t="s">
        <v>198</v>
      </c>
      <c r="C124" s="67">
        <v>1150</v>
      </c>
      <c r="D124" s="354">
        <v>147</v>
      </c>
      <c r="E124" s="69">
        <v>0</v>
      </c>
      <c r="F124" s="67">
        <v>0</v>
      </c>
      <c r="G124" s="67">
        <v>0</v>
      </c>
    </row>
    <row r="125" spans="1:7" ht="12.75">
      <c r="A125" s="67">
        <v>734</v>
      </c>
      <c r="B125" s="68" t="s">
        <v>199</v>
      </c>
      <c r="C125" s="67">
        <v>1500</v>
      </c>
      <c r="D125" s="354">
        <v>101</v>
      </c>
      <c r="E125" s="69">
        <v>150</v>
      </c>
      <c r="F125" s="67">
        <v>0</v>
      </c>
      <c r="G125" s="67">
        <v>0</v>
      </c>
    </row>
    <row r="126" spans="1:7" ht="12.75">
      <c r="A126" s="67">
        <v>735</v>
      </c>
      <c r="B126" s="68" t="s">
        <v>200</v>
      </c>
      <c r="C126" s="67">
        <v>971</v>
      </c>
      <c r="D126" s="354">
        <v>170</v>
      </c>
      <c r="E126" s="69">
        <v>150</v>
      </c>
      <c r="F126" s="67">
        <v>0</v>
      </c>
      <c r="G126" s="67">
        <v>0</v>
      </c>
    </row>
    <row r="127" spans="1:7" ht="12.75">
      <c r="A127" s="67">
        <v>736</v>
      </c>
      <c r="B127" s="68" t="s">
        <v>201</v>
      </c>
      <c r="C127" s="67">
        <v>1600</v>
      </c>
      <c r="D127" s="354">
        <v>88</v>
      </c>
      <c r="E127" s="69">
        <v>0</v>
      </c>
      <c r="F127" s="67">
        <v>0</v>
      </c>
      <c r="G127" s="67">
        <v>0</v>
      </c>
    </row>
    <row r="128" spans="1:7" ht="12.75">
      <c r="A128" s="67">
        <v>737</v>
      </c>
      <c r="B128" s="68" t="s">
        <v>202</v>
      </c>
      <c r="C128" s="67">
        <v>971</v>
      </c>
      <c r="D128" s="354">
        <v>170</v>
      </c>
      <c r="E128" s="69">
        <v>150</v>
      </c>
      <c r="F128" s="67">
        <v>0</v>
      </c>
      <c r="G128" s="67">
        <v>0</v>
      </c>
    </row>
    <row r="129" spans="1:7" ht="12.75">
      <c r="A129" s="67">
        <v>738</v>
      </c>
      <c r="B129" s="68" t="s">
        <v>203</v>
      </c>
      <c r="C129" s="67">
        <v>971</v>
      </c>
      <c r="D129" s="354">
        <v>170</v>
      </c>
      <c r="E129" s="69">
        <v>17</v>
      </c>
      <c r="F129" s="67">
        <v>0</v>
      </c>
      <c r="G129" s="67">
        <v>0</v>
      </c>
    </row>
    <row r="130" spans="1:7" ht="12.75">
      <c r="A130" s="67">
        <v>739</v>
      </c>
      <c r="B130" s="68" t="s">
        <v>204</v>
      </c>
      <c r="C130" s="67">
        <v>971</v>
      </c>
      <c r="D130" s="354">
        <v>170</v>
      </c>
      <c r="E130" s="69">
        <v>150</v>
      </c>
      <c r="F130" s="67">
        <v>0</v>
      </c>
      <c r="G130" s="67">
        <v>0</v>
      </c>
    </row>
    <row r="131" spans="1:7" ht="12.75">
      <c r="A131" s="67">
        <v>740</v>
      </c>
      <c r="B131" s="68" t="s">
        <v>205</v>
      </c>
      <c r="C131" s="67">
        <v>971</v>
      </c>
      <c r="D131" s="354">
        <v>170</v>
      </c>
      <c r="E131" s="69">
        <v>150</v>
      </c>
      <c r="F131" s="67">
        <v>0</v>
      </c>
      <c r="G131" s="67">
        <v>0</v>
      </c>
    </row>
    <row r="132" spans="1:7" ht="12.75">
      <c r="A132" s="67">
        <v>741</v>
      </c>
      <c r="B132" s="68" t="s">
        <v>206</v>
      </c>
      <c r="C132" s="67">
        <v>1300</v>
      </c>
      <c r="D132" s="354">
        <v>127</v>
      </c>
      <c r="E132" s="69">
        <v>0</v>
      </c>
      <c r="F132" s="67">
        <v>0</v>
      </c>
      <c r="G132" s="67">
        <v>0</v>
      </c>
    </row>
    <row r="133" spans="1:7" ht="12.75">
      <c r="A133" s="67">
        <v>742</v>
      </c>
      <c r="B133" s="68" t="s">
        <v>207</v>
      </c>
      <c r="C133" s="67">
        <v>971</v>
      </c>
      <c r="D133" s="354">
        <v>170</v>
      </c>
      <c r="E133" s="69">
        <v>150</v>
      </c>
      <c r="F133" s="67">
        <v>0</v>
      </c>
      <c r="G133" s="67">
        <v>0</v>
      </c>
    </row>
    <row r="134" spans="1:7" ht="12.75">
      <c r="A134" s="74">
        <v>743</v>
      </c>
      <c r="B134" s="75" t="s">
        <v>208</v>
      </c>
      <c r="C134" s="74">
        <v>971</v>
      </c>
      <c r="D134" s="354">
        <v>170</v>
      </c>
      <c r="E134" s="76">
        <v>17</v>
      </c>
      <c r="F134" s="74">
        <v>0</v>
      </c>
      <c r="G134" s="74">
        <v>0</v>
      </c>
    </row>
    <row r="135" spans="1:7" ht="12.75">
      <c r="A135" s="67">
        <v>744</v>
      </c>
      <c r="B135" s="68" t="s">
        <v>209</v>
      </c>
      <c r="C135" s="67">
        <v>1400</v>
      </c>
      <c r="D135" s="354">
        <v>114</v>
      </c>
      <c r="E135" s="69">
        <v>0</v>
      </c>
      <c r="F135" s="67">
        <v>0</v>
      </c>
      <c r="G135" s="67">
        <v>0</v>
      </c>
    </row>
    <row r="136" spans="1:7" ht="12.75">
      <c r="A136" s="67">
        <v>745</v>
      </c>
      <c r="B136" s="68" t="s">
        <v>210</v>
      </c>
      <c r="C136" s="67">
        <v>1450</v>
      </c>
      <c r="D136" s="354">
        <v>107</v>
      </c>
      <c r="E136" s="69">
        <v>0</v>
      </c>
      <c r="F136" s="67">
        <v>0</v>
      </c>
      <c r="G136" s="67">
        <v>0</v>
      </c>
    </row>
    <row r="137" spans="1:7" ht="12.75">
      <c r="A137" s="67">
        <v>746</v>
      </c>
      <c r="B137" s="68" t="s">
        <v>211</v>
      </c>
      <c r="C137" s="67">
        <v>971</v>
      </c>
      <c r="D137" s="354">
        <v>170</v>
      </c>
      <c r="E137" s="69">
        <v>150</v>
      </c>
      <c r="F137" s="67">
        <v>0</v>
      </c>
      <c r="G137" s="67">
        <v>0</v>
      </c>
    </row>
    <row r="138" spans="1:7" ht="12.75">
      <c r="A138" s="67">
        <v>747</v>
      </c>
      <c r="B138" s="68" t="s">
        <v>212</v>
      </c>
      <c r="C138" s="67">
        <v>971</v>
      </c>
      <c r="D138" s="354">
        <v>170</v>
      </c>
      <c r="E138" s="69">
        <v>0</v>
      </c>
      <c r="F138" s="67">
        <v>0</v>
      </c>
      <c r="G138" s="67">
        <v>0</v>
      </c>
    </row>
    <row r="139" spans="1:7" ht="12.75">
      <c r="A139" s="67">
        <v>748</v>
      </c>
      <c r="B139" s="68" t="s">
        <v>213</v>
      </c>
      <c r="C139" s="67">
        <v>1250</v>
      </c>
      <c r="D139" s="354">
        <v>134</v>
      </c>
      <c r="E139" s="69">
        <v>0</v>
      </c>
      <c r="F139" s="67">
        <v>0</v>
      </c>
      <c r="G139" s="67">
        <v>0</v>
      </c>
    </row>
    <row r="140" spans="1:7" ht="12.75">
      <c r="A140" s="67">
        <v>749</v>
      </c>
      <c r="B140" s="68" t="s">
        <v>107</v>
      </c>
      <c r="C140" s="67">
        <v>971</v>
      </c>
      <c r="D140" s="354">
        <v>170</v>
      </c>
      <c r="E140" s="69">
        <v>0</v>
      </c>
      <c r="F140" s="67">
        <v>0</v>
      </c>
      <c r="G140" s="67">
        <v>0</v>
      </c>
    </row>
    <row r="141" spans="1:7" ht="12.75">
      <c r="A141" s="67">
        <v>750</v>
      </c>
      <c r="B141" s="68" t="s">
        <v>106</v>
      </c>
      <c r="C141" s="67">
        <v>971</v>
      </c>
      <c r="D141" s="354">
        <v>170</v>
      </c>
      <c r="E141" s="69">
        <v>0</v>
      </c>
      <c r="F141" s="67">
        <v>0</v>
      </c>
      <c r="G141" s="67">
        <v>0</v>
      </c>
    </row>
    <row r="142" spans="1:7" ht="12.75">
      <c r="A142" s="67">
        <v>751</v>
      </c>
      <c r="B142" s="68" t="s">
        <v>214</v>
      </c>
      <c r="C142" s="67">
        <v>1500</v>
      </c>
      <c r="D142" s="354">
        <v>101</v>
      </c>
      <c r="E142" s="69">
        <v>150</v>
      </c>
      <c r="F142" s="67">
        <v>0</v>
      </c>
      <c r="G142" s="67">
        <v>0</v>
      </c>
    </row>
    <row r="143" spans="1:7" ht="12.75">
      <c r="A143" s="67">
        <v>752</v>
      </c>
      <c r="B143" s="68" t="s">
        <v>215</v>
      </c>
      <c r="C143" s="67">
        <v>2913</v>
      </c>
      <c r="D143" s="354">
        <v>0</v>
      </c>
      <c r="E143" s="69">
        <v>20</v>
      </c>
      <c r="F143" s="67">
        <v>0</v>
      </c>
      <c r="G143" s="67">
        <v>0</v>
      </c>
    </row>
    <row r="144" spans="1:7" ht="12.75">
      <c r="A144" s="67">
        <v>753</v>
      </c>
      <c r="B144" s="68" t="s">
        <v>216</v>
      </c>
      <c r="C144" s="67">
        <v>1942</v>
      </c>
      <c r="D144" s="354">
        <v>43</v>
      </c>
      <c r="E144" s="69">
        <v>150</v>
      </c>
      <c r="F144" s="67">
        <v>0</v>
      </c>
      <c r="G144" s="67">
        <v>0</v>
      </c>
    </row>
    <row r="145" spans="1:7" ht="12.75">
      <c r="A145" s="67">
        <v>754</v>
      </c>
      <c r="B145" s="68" t="s">
        <v>217</v>
      </c>
      <c r="C145" s="67">
        <v>971</v>
      </c>
      <c r="D145" s="354">
        <v>170</v>
      </c>
      <c r="E145" s="69">
        <v>0</v>
      </c>
      <c r="F145" s="67">
        <v>0</v>
      </c>
      <c r="G145" s="67">
        <v>0</v>
      </c>
    </row>
    <row r="146" spans="1:7" ht="12.75">
      <c r="A146" s="67">
        <v>755</v>
      </c>
      <c r="B146" s="68" t="s">
        <v>218</v>
      </c>
      <c r="C146" s="67">
        <v>971</v>
      </c>
      <c r="D146" s="354">
        <v>170</v>
      </c>
      <c r="E146" s="69">
        <v>0</v>
      </c>
      <c r="F146" s="67">
        <v>0</v>
      </c>
      <c r="G146" s="67">
        <v>0</v>
      </c>
    </row>
    <row r="147" spans="1:7" ht="12.75">
      <c r="A147" s="67">
        <v>756</v>
      </c>
      <c r="B147" s="68" t="s">
        <v>219</v>
      </c>
      <c r="C147" s="67">
        <v>1290</v>
      </c>
      <c r="D147" s="354">
        <v>128</v>
      </c>
      <c r="E147" s="69">
        <v>0</v>
      </c>
      <c r="F147" s="67">
        <v>0</v>
      </c>
      <c r="G147" s="67">
        <v>0</v>
      </c>
    </row>
    <row r="148" spans="1:7" ht="12.75">
      <c r="A148" s="67">
        <v>757</v>
      </c>
      <c r="B148" s="68" t="s">
        <v>220</v>
      </c>
      <c r="C148" s="67">
        <v>971</v>
      </c>
      <c r="D148" s="354">
        <v>170</v>
      </c>
      <c r="E148" s="69">
        <v>0</v>
      </c>
      <c r="F148" s="67">
        <v>0</v>
      </c>
      <c r="G148" s="67">
        <v>0</v>
      </c>
    </row>
    <row r="149" spans="1:7" ht="12.75">
      <c r="A149" s="67">
        <v>758</v>
      </c>
      <c r="B149" s="68" t="s">
        <v>221</v>
      </c>
      <c r="C149" s="67">
        <v>971</v>
      </c>
      <c r="D149" s="354">
        <v>170</v>
      </c>
      <c r="E149" s="69">
        <v>0</v>
      </c>
      <c r="F149" s="67">
        <v>0</v>
      </c>
      <c r="G149" s="67">
        <v>0</v>
      </c>
    </row>
    <row r="150" spans="1:7" ht="12.75">
      <c r="A150" s="67">
        <v>759</v>
      </c>
      <c r="B150" s="68" t="s">
        <v>222</v>
      </c>
      <c r="C150" s="67">
        <v>971</v>
      </c>
      <c r="D150" s="354">
        <v>170</v>
      </c>
      <c r="E150" s="69">
        <v>150</v>
      </c>
      <c r="F150" s="67">
        <v>0</v>
      </c>
      <c r="G150" s="67">
        <v>0</v>
      </c>
    </row>
    <row r="151" spans="1:7" ht="12.75">
      <c r="A151" s="67">
        <v>760</v>
      </c>
      <c r="B151" s="68" t="s">
        <v>223</v>
      </c>
      <c r="C151" s="67">
        <v>1400</v>
      </c>
      <c r="D151" s="354">
        <v>114</v>
      </c>
      <c r="E151" s="69">
        <v>0</v>
      </c>
      <c r="F151" s="67">
        <v>0</v>
      </c>
      <c r="G151" s="67">
        <v>0</v>
      </c>
    </row>
    <row r="152" spans="1:7" ht="12.75">
      <c r="A152" s="67">
        <v>761</v>
      </c>
      <c r="B152" s="68" t="s">
        <v>224</v>
      </c>
      <c r="C152" s="67">
        <v>1700</v>
      </c>
      <c r="D152" s="354">
        <v>75</v>
      </c>
      <c r="E152" s="69">
        <v>150</v>
      </c>
      <c r="F152" s="67">
        <v>0</v>
      </c>
      <c r="G152" s="67">
        <v>0</v>
      </c>
    </row>
    <row r="153" spans="1:7" ht="12.75">
      <c r="A153" s="67">
        <v>762</v>
      </c>
      <c r="B153" s="68" t="s">
        <v>225</v>
      </c>
      <c r="C153" s="67">
        <v>971</v>
      </c>
      <c r="D153" s="354">
        <v>170</v>
      </c>
      <c r="E153" s="69">
        <v>0</v>
      </c>
      <c r="F153" s="67">
        <v>0</v>
      </c>
      <c r="G153" s="67">
        <v>0</v>
      </c>
    </row>
    <row r="154" spans="1:7" ht="12.75">
      <c r="A154" s="67">
        <v>763</v>
      </c>
      <c r="B154" s="68" t="s">
        <v>226</v>
      </c>
      <c r="C154" s="67">
        <v>971</v>
      </c>
      <c r="D154" s="354">
        <v>170</v>
      </c>
      <c r="E154" s="69">
        <v>0</v>
      </c>
      <c r="F154" s="67">
        <v>0</v>
      </c>
      <c r="G154" s="67">
        <v>0</v>
      </c>
    </row>
    <row r="155" spans="1:7" ht="12.75">
      <c r="A155" s="67">
        <v>764</v>
      </c>
      <c r="B155" s="68" t="s">
        <v>227</v>
      </c>
      <c r="C155" s="67">
        <v>1500</v>
      </c>
      <c r="D155" s="354">
        <v>101</v>
      </c>
      <c r="E155" s="69">
        <v>150</v>
      </c>
      <c r="F155" s="67">
        <v>0</v>
      </c>
      <c r="G155" s="67">
        <v>0</v>
      </c>
    </row>
    <row r="156" spans="1:7" ht="12.75">
      <c r="A156" s="67">
        <v>765</v>
      </c>
      <c r="B156" s="68" t="s">
        <v>228</v>
      </c>
      <c r="C156" s="67">
        <v>1500</v>
      </c>
      <c r="D156" s="354">
        <v>101</v>
      </c>
      <c r="E156" s="69">
        <v>150</v>
      </c>
      <c r="F156" s="67">
        <v>0</v>
      </c>
      <c r="G156" s="67">
        <v>0</v>
      </c>
    </row>
    <row r="157" spans="1:7" ht="12.75">
      <c r="A157" s="67">
        <v>766</v>
      </c>
      <c r="B157" s="68" t="s">
        <v>229</v>
      </c>
      <c r="C157" s="67">
        <v>1942</v>
      </c>
      <c r="D157" s="354">
        <v>43</v>
      </c>
      <c r="E157" s="69">
        <v>150</v>
      </c>
      <c r="F157" s="67">
        <v>0</v>
      </c>
      <c r="G157" s="67">
        <v>0</v>
      </c>
    </row>
    <row r="158" spans="1:7" ht="12.75">
      <c r="A158" s="67">
        <v>767</v>
      </c>
      <c r="B158" s="68" t="s">
        <v>230</v>
      </c>
      <c r="C158" s="67">
        <v>1700</v>
      </c>
      <c r="D158" s="354">
        <v>75</v>
      </c>
      <c r="E158" s="69">
        <v>150</v>
      </c>
      <c r="F158" s="67">
        <v>0</v>
      </c>
      <c r="G158" s="67">
        <v>0</v>
      </c>
    </row>
    <row r="159" spans="1:7" ht="12.75">
      <c r="A159" s="67">
        <v>768</v>
      </c>
      <c r="B159" s="68" t="s">
        <v>231</v>
      </c>
      <c r="C159" s="67">
        <v>971</v>
      </c>
      <c r="D159" s="354">
        <v>170</v>
      </c>
      <c r="E159" s="69">
        <v>150</v>
      </c>
      <c r="F159" s="67">
        <v>0</v>
      </c>
      <c r="G159" s="67">
        <v>0</v>
      </c>
    </row>
    <row r="160" spans="1:7" ht="12.75">
      <c r="A160" s="67">
        <v>769</v>
      </c>
      <c r="B160" s="68" t="s">
        <v>232</v>
      </c>
      <c r="C160" s="67">
        <v>2913</v>
      </c>
      <c r="D160" s="354">
        <v>0</v>
      </c>
      <c r="E160" s="69">
        <v>0</v>
      </c>
      <c r="F160" s="67">
        <v>0</v>
      </c>
      <c r="G160" s="67">
        <v>0</v>
      </c>
    </row>
    <row r="161" spans="1:7" ht="12.75">
      <c r="A161" s="67">
        <v>770</v>
      </c>
      <c r="B161" s="68" t="s">
        <v>233</v>
      </c>
      <c r="C161" s="67">
        <v>2913</v>
      </c>
      <c r="D161" s="354">
        <v>0</v>
      </c>
      <c r="E161" s="69">
        <v>0</v>
      </c>
      <c r="F161" s="67">
        <v>0</v>
      </c>
      <c r="G161" s="67">
        <v>0</v>
      </c>
    </row>
    <row r="162" spans="1:7" ht="12.75">
      <c r="A162" s="67">
        <v>771</v>
      </c>
      <c r="B162" s="68" t="s">
        <v>234</v>
      </c>
      <c r="C162" s="67">
        <v>971</v>
      </c>
      <c r="D162" s="354">
        <v>170</v>
      </c>
      <c r="E162" s="69">
        <v>0</v>
      </c>
      <c r="F162" s="67">
        <v>0</v>
      </c>
      <c r="G162" s="67">
        <v>620</v>
      </c>
    </row>
    <row r="163" spans="1:7" ht="12.75">
      <c r="A163" s="67">
        <v>772</v>
      </c>
      <c r="B163" s="68" t="s">
        <v>235</v>
      </c>
      <c r="C163" s="67">
        <v>971</v>
      </c>
      <c r="D163" s="354">
        <v>170</v>
      </c>
      <c r="E163" s="69">
        <v>0</v>
      </c>
      <c r="F163" s="67">
        <v>0</v>
      </c>
      <c r="G163" s="67">
        <v>620</v>
      </c>
    </row>
    <row r="164" spans="1:7" ht="12.75">
      <c r="A164" s="67">
        <v>773</v>
      </c>
      <c r="B164" s="68" t="s">
        <v>236</v>
      </c>
      <c r="C164" s="67">
        <v>1942</v>
      </c>
      <c r="D164" s="354">
        <v>43</v>
      </c>
      <c r="E164" s="69">
        <v>0</v>
      </c>
      <c r="F164" s="67">
        <v>0</v>
      </c>
      <c r="G164" s="67">
        <v>669</v>
      </c>
    </row>
    <row r="165" spans="1:7" ht="12.75">
      <c r="A165" s="67">
        <v>774</v>
      </c>
      <c r="B165" s="68" t="s">
        <v>237</v>
      </c>
      <c r="C165" s="67">
        <v>1700</v>
      </c>
      <c r="D165" s="354">
        <v>75</v>
      </c>
      <c r="E165" s="69">
        <v>0</v>
      </c>
      <c r="F165" s="67">
        <v>0</v>
      </c>
      <c r="G165" s="67">
        <v>657</v>
      </c>
    </row>
    <row r="166" spans="1:7" ht="12.75">
      <c r="A166" s="67">
        <v>775</v>
      </c>
      <c r="B166" s="68" t="s">
        <v>238</v>
      </c>
      <c r="C166" s="67">
        <v>1400</v>
      </c>
      <c r="D166" s="354">
        <v>114</v>
      </c>
      <c r="E166" s="69">
        <v>150</v>
      </c>
      <c r="F166" s="67">
        <v>0</v>
      </c>
      <c r="G166" s="67">
        <v>0</v>
      </c>
    </row>
    <row r="167" spans="1:7" ht="12.75">
      <c r="A167" s="67">
        <v>776</v>
      </c>
      <c r="B167" s="68" t="s">
        <v>239</v>
      </c>
      <c r="C167" s="67">
        <v>971</v>
      </c>
      <c r="D167" s="354">
        <v>170</v>
      </c>
      <c r="E167" s="69">
        <v>0</v>
      </c>
      <c r="F167" s="67">
        <v>0</v>
      </c>
      <c r="G167" s="67">
        <v>0</v>
      </c>
    </row>
    <row r="168" spans="1:7" ht="12.75">
      <c r="A168" s="67">
        <v>777</v>
      </c>
      <c r="B168" s="68" t="s">
        <v>240</v>
      </c>
      <c r="C168" s="67">
        <v>971</v>
      </c>
      <c r="D168" s="354">
        <v>170</v>
      </c>
      <c r="E168" s="69">
        <v>0</v>
      </c>
      <c r="F168" s="67">
        <v>0</v>
      </c>
      <c r="G168" s="67">
        <v>155</v>
      </c>
    </row>
    <row r="169" spans="1:7" ht="12.75">
      <c r="A169" s="67">
        <v>778</v>
      </c>
      <c r="B169" s="68" t="s">
        <v>241</v>
      </c>
      <c r="C169" s="67">
        <v>1692</v>
      </c>
      <c r="D169" s="354">
        <v>76</v>
      </c>
      <c r="E169" s="69">
        <v>17</v>
      </c>
      <c r="F169" s="67">
        <v>0</v>
      </c>
      <c r="G169" s="67">
        <v>0</v>
      </c>
    </row>
    <row r="170" spans="1:7" ht="12.75">
      <c r="A170" s="67">
        <v>779</v>
      </c>
      <c r="B170" s="70" t="s">
        <v>242</v>
      </c>
      <c r="C170" s="67">
        <v>853</v>
      </c>
      <c r="D170" s="354">
        <v>779</v>
      </c>
      <c r="E170" s="69">
        <v>0</v>
      </c>
      <c r="F170" s="67">
        <v>0</v>
      </c>
      <c r="G170" s="67">
        <v>0</v>
      </c>
    </row>
    <row r="171" spans="1:7" ht="12.75">
      <c r="A171" s="67">
        <v>780</v>
      </c>
      <c r="B171" s="68" t="s">
        <v>243</v>
      </c>
      <c r="C171" s="67">
        <v>3146</v>
      </c>
      <c r="D171" s="354">
        <v>0</v>
      </c>
      <c r="E171" s="69">
        <v>0</v>
      </c>
      <c r="F171" s="67">
        <v>0</v>
      </c>
      <c r="G171" s="67">
        <v>0</v>
      </c>
    </row>
    <row r="172" spans="1:7" ht="12.75">
      <c r="A172" s="67">
        <v>781</v>
      </c>
      <c r="B172" s="68" t="s">
        <v>244</v>
      </c>
      <c r="C172" s="67">
        <v>2288</v>
      </c>
      <c r="D172" s="354">
        <v>0</v>
      </c>
      <c r="E172" s="69">
        <v>0</v>
      </c>
      <c r="F172" s="67">
        <v>0</v>
      </c>
      <c r="G172" s="67">
        <v>0</v>
      </c>
    </row>
    <row r="173" spans="1:7" ht="12.75">
      <c r="A173" s="67">
        <v>783</v>
      </c>
      <c r="B173" s="68" t="s">
        <v>245</v>
      </c>
      <c r="C173" s="67">
        <v>971</v>
      </c>
      <c r="D173" s="354">
        <v>170</v>
      </c>
      <c r="E173" s="69">
        <v>0</v>
      </c>
      <c r="F173" s="67">
        <v>0</v>
      </c>
      <c r="G173" s="67">
        <v>0</v>
      </c>
    </row>
    <row r="174" spans="1:7" ht="12.75">
      <c r="A174" s="67">
        <v>784</v>
      </c>
      <c r="B174" s="68" t="s">
        <v>246</v>
      </c>
      <c r="C174" s="67">
        <v>2490</v>
      </c>
      <c r="D174" s="354">
        <v>0</v>
      </c>
      <c r="E174" s="69">
        <v>0</v>
      </c>
      <c r="F174" s="67">
        <v>0</v>
      </c>
      <c r="G174" s="67">
        <v>0</v>
      </c>
    </row>
    <row r="175" spans="1:7" ht="12.75">
      <c r="A175" s="67">
        <v>788</v>
      </c>
      <c r="B175" s="68" t="s">
        <v>247</v>
      </c>
      <c r="C175" s="67">
        <v>2000</v>
      </c>
      <c r="D175" s="354">
        <v>36</v>
      </c>
      <c r="E175" s="69">
        <v>0</v>
      </c>
      <c r="F175" s="67">
        <v>0</v>
      </c>
      <c r="G175" s="67">
        <v>0</v>
      </c>
    </row>
    <row r="176" spans="1:7" ht="12.75">
      <c r="A176" s="67">
        <v>789</v>
      </c>
      <c r="B176" s="68" t="s">
        <v>248</v>
      </c>
      <c r="C176" s="67">
        <v>971</v>
      </c>
      <c r="D176" s="354">
        <v>170</v>
      </c>
      <c r="E176" s="69">
        <v>0</v>
      </c>
      <c r="F176" s="67">
        <v>0</v>
      </c>
      <c r="G176" s="67">
        <v>0</v>
      </c>
    </row>
    <row r="177" spans="1:7" ht="12.75">
      <c r="A177" s="67">
        <v>791</v>
      </c>
      <c r="B177" s="68" t="s">
        <v>249</v>
      </c>
      <c r="C177" s="67">
        <v>2913</v>
      </c>
      <c r="D177" s="354">
        <v>0</v>
      </c>
      <c r="E177" s="69">
        <v>17</v>
      </c>
      <c r="F177" s="67">
        <v>0</v>
      </c>
      <c r="G177" s="67">
        <v>0</v>
      </c>
    </row>
    <row r="178" spans="1:7" ht="12.75">
      <c r="A178" s="67">
        <v>792</v>
      </c>
      <c r="B178" s="68" t="s">
        <v>250</v>
      </c>
      <c r="C178" s="67">
        <v>2913</v>
      </c>
      <c r="D178" s="354">
        <v>0</v>
      </c>
      <c r="E178" s="69">
        <v>0</v>
      </c>
      <c r="F178" s="67">
        <v>0</v>
      </c>
      <c r="G178" s="67">
        <v>0</v>
      </c>
    </row>
    <row r="179" spans="1:7" ht="12.75">
      <c r="A179" s="67">
        <v>793</v>
      </c>
      <c r="B179" s="68" t="s">
        <v>251</v>
      </c>
      <c r="C179" s="67">
        <v>2913</v>
      </c>
      <c r="D179" s="354">
        <v>0</v>
      </c>
      <c r="E179" s="69">
        <v>0</v>
      </c>
      <c r="F179" s="67">
        <v>0</v>
      </c>
      <c r="G179" s="67">
        <v>0</v>
      </c>
    </row>
    <row r="180" spans="1:7" ht="12.75">
      <c r="A180" s="67">
        <v>794</v>
      </c>
      <c r="B180" s="68" t="s">
        <v>252</v>
      </c>
      <c r="C180" s="67">
        <v>1840</v>
      </c>
      <c r="D180" s="354">
        <v>57</v>
      </c>
      <c r="E180" s="69">
        <v>0</v>
      </c>
      <c r="F180" s="67">
        <v>0</v>
      </c>
      <c r="G180" s="67">
        <v>0</v>
      </c>
    </row>
    <row r="181" spans="1:7" ht="12.75">
      <c r="A181" s="67">
        <v>795</v>
      </c>
      <c r="B181" s="68" t="s">
        <v>253</v>
      </c>
      <c r="C181" s="67">
        <v>1450</v>
      </c>
      <c r="D181" s="354">
        <v>107</v>
      </c>
      <c r="E181" s="69">
        <v>0</v>
      </c>
      <c r="F181" s="67">
        <v>0</v>
      </c>
      <c r="G181" s="67">
        <v>0</v>
      </c>
    </row>
    <row r="182" spans="1:7" ht="12.75">
      <c r="A182" s="67">
        <v>796</v>
      </c>
      <c r="B182" s="68" t="s">
        <v>254</v>
      </c>
      <c r="C182" s="67">
        <v>1340</v>
      </c>
      <c r="D182" s="354">
        <v>122</v>
      </c>
      <c r="E182" s="69">
        <v>0</v>
      </c>
      <c r="F182" s="67">
        <v>0</v>
      </c>
      <c r="G182" s="67">
        <v>0</v>
      </c>
    </row>
    <row r="183" spans="1:7" ht="12.75">
      <c r="A183" s="67">
        <v>797</v>
      </c>
      <c r="B183" s="68" t="s">
        <v>255</v>
      </c>
      <c r="C183" s="67">
        <v>1170</v>
      </c>
      <c r="D183" s="354">
        <v>144</v>
      </c>
      <c r="E183" s="69">
        <v>0</v>
      </c>
      <c r="F183" s="67">
        <v>0</v>
      </c>
      <c r="G183" s="67">
        <v>0</v>
      </c>
    </row>
    <row r="184" spans="1:7" ht="12.75">
      <c r="A184" s="67">
        <v>798</v>
      </c>
      <c r="B184" s="68" t="s">
        <v>256</v>
      </c>
      <c r="C184" s="67">
        <v>961</v>
      </c>
      <c r="D184" s="354">
        <v>171</v>
      </c>
      <c r="E184" s="69">
        <v>0</v>
      </c>
      <c r="F184" s="67">
        <v>0</v>
      </c>
      <c r="G184" s="67">
        <v>0</v>
      </c>
    </row>
    <row r="185" spans="1:7" ht="12.75">
      <c r="A185" s="67">
        <v>808</v>
      </c>
      <c r="B185" s="68" t="s">
        <v>257</v>
      </c>
      <c r="C185" s="67">
        <v>1942</v>
      </c>
      <c r="D185" s="354">
        <v>43</v>
      </c>
      <c r="E185" s="69">
        <v>0</v>
      </c>
      <c r="F185" s="67">
        <v>0</v>
      </c>
      <c r="G185" s="67">
        <v>669</v>
      </c>
    </row>
    <row r="186" spans="1:7" ht="12.75">
      <c r="A186" s="67">
        <v>809</v>
      </c>
      <c r="B186" s="68" t="s">
        <v>258</v>
      </c>
      <c r="C186" s="67">
        <v>1782</v>
      </c>
      <c r="D186" s="354">
        <v>64</v>
      </c>
      <c r="E186" s="69">
        <v>0</v>
      </c>
      <c r="F186" s="67">
        <v>0</v>
      </c>
      <c r="G186" s="67">
        <v>669</v>
      </c>
    </row>
    <row r="187" spans="1:7" ht="12.75">
      <c r="A187" s="67">
        <v>810</v>
      </c>
      <c r="B187" s="68" t="s">
        <v>259</v>
      </c>
      <c r="C187" s="67">
        <v>1692</v>
      </c>
      <c r="D187" s="354">
        <v>76</v>
      </c>
      <c r="E187" s="69">
        <v>0</v>
      </c>
      <c r="F187" s="67">
        <v>0</v>
      </c>
      <c r="G187" s="67">
        <v>663</v>
      </c>
    </row>
    <row r="188" spans="1:7" ht="12.75">
      <c r="A188" s="67">
        <v>811</v>
      </c>
      <c r="B188" s="68" t="s">
        <v>260</v>
      </c>
      <c r="C188" s="67">
        <v>1592</v>
      </c>
      <c r="D188" s="354">
        <v>89</v>
      </c>
      <c r="E188" s="69">
        <v>0</v>
      </c>
      <c r="F188" s="67">
        <v>0</v>
      </c>
      <c r="G188" s="67">
        <v>657</v>
      </c>
    </row>
    <row r="189" spans="1:7" ht="12.75">
      <c r="A189" s="67">
        <v>812</v>
      </c>
      <c r="B189" s="68" t="s">
        <v>261</v>
      </c>
      <c r="C189" s="67">
        <v>1600</v>
      </c>
      <c r="D189" s="354">
        <v>88</v>
      </c>
      <c r="E189" s="69">
        <v>0</v>
      </c>
      <c r="F189" s="67">
        <v>0</v>
      </c>
      <c r="G189" s="67">
        <v>657</v>
      </c>
    </row>
    <row r="190" spans="1:7" ht="12.75">
      <c r="A190" s="67">
        <v>813</v>
      </c>
      <c r="B190" s="68" t="s">
        <v>262</v>
      </c>
      <c r="C190" s="67">
        <v>971</v>
      </c>
      <c r="D190" s="354">
        <v>170</v>
      </c>
      <c r="E190" s="69">
        <v>0</v>
      </c>
      <c r="F190" s="67">
        <v>0</v>
      </c>
      <c r="G190" s="67">
        <v>620</v>
      </c>
    </row>
    <row r="191" spans="1:7" ht="12.75">
      <c r="A191" s="67">
        <v>814</v>
      </c>
      <c r="B191" s="68" t="s">
        <v>263</v>
      </c>
      <c r="C191" s="67">
        <v>971</v>
      </c>
      <c r="D191" s="354">
        <v>170</v>
      </c>
      <c r="E191" s="69">
        <v>0</v>
      </c>
      <c r="F191" s="67">
        <v>0</v>
      </c>
      <c r="G191" s="67">
        <v>155</v>
      </c>
    </row>
    <row r="192" spans="1:7" ht="12.75">
      <c r="A192" s="67">
        <v>815</v>
      </c>
      <c r="B192" s="68" t="s">
        <v>264</v>
      </c>
      <c r="C192" s="67">
        <v>971</v>
      </c>
      <c r="D192" s="354">
        <v>170</v>
      </c>
      <c r="E192" s="69">
        <v>17</v>
      </c>
      <c r="F192" s="67">
        <v>0</v>
      </c>
      <c r="G192" s="67">
        <v>0</v>
      </c>
    </row>
    <row r="193" spans="1:7" ht="12.75">
      <c r="A193" s="67">
        <v>816</v>
      </c>
      <c r="B193" s="68" t="s">
        <v>265</v>
      </c>
      <c r="C193" s="67">
        <v>1600</v>
      </c>
      <c r="D193" s="354">
        <v>88</v>
      </c>
      <c r="E193" s="69">
        <v>17</v>
      </c>
      <c r="F193" s="67">
        <v>0</v>
      </c>
      <c r="G193" s="67">
        <v>0</v>
      </c>
    </row>
    <row r="194" spans="1:7" ht="12.75">
      <c r="A194" s="67">
        <v>817</v>
      </c>
      <c r="B194" s="68" t="s">
        <v>266</v>
      </c>
      <c r="C194" s="67">
        <v>1782</v>
      </c>
      <c r="D194" s="354">
        <v>64</v>
      </c>
      <c r="E194" s="69">
        <v>0</v>
      </c>
      <c r="F194" s="67">
        <v>0</v>
      </c>
      <c r="G194" s="67">
        <v>839</v>
      </c>
    </row>
    <row r="195" spans="1:7" ht="12.75">
      <c r="A195" s="67">
        <v>818</v>
      </c>
      <c r="B195" s="68" t="s">
        <v>267</v>
      </c>
      <c r="C195" s="67">
        <v>971</v>
      </c>
      <c r="D195" s="354">
        <v>170</v>
      </c>
      <c r="E195" s="69">
        <v>0</v>
      </c>
      <c r="F195" s="67">
        <v>0</v>
      </c>
      <c r="G195" s="67">
        <v>659</v>
      </c>
    </row>
    <row r="196" spans="1:7" ht="12.75">
      <c r="A196" s="67">
        <v>819</v>
      </c>
      <c r="B196" s="68" t="s">
        <v>268</v>
      </c>
      <c r="C196" s="67">
        <v>971</v>
      </c>
      <c r="D196" s="354">
        <v>170</v>
      </c>
      <c r="E196" s="69">
        <v>0</v>
      </c>
      <c r="F196" s="67">
        <v>0</v>
      </c>
      <c r="G196" s="67">
        <v>155</v>
      </c>
    </row>
    <row r="197" spans="1:7" ht="12.75">
      <c r="A197" s="67">
        <v>820</v>
      </c>
      <c r="B197" s="68" t="s">
        <v>269</v>
      </c>
      <c r="C197" s="67">
        <v>1692</v>
      </c>
      <c r="D197" s="354">
        <v>76</v>
      </c>
      <c r="E197" s="69">
        <v>0</v>
      </c>
      <c r="F197" s="67">
        <v>0</v>
      </c>
      <c r="G197" s="67">
        <v>839</v>
      </c>
    </row>
    <row r="198" spans="1:7" ht="12.75">
      <c r="A198" s="67">
        <v>821</v>
      </c>
      <c r="B198" s="68" t="s">
        <v>270</v>
      </c>
      <c r="C198" s="67">
        <v>1592</v>
      </c>
      <c r="D198" s="354">
        <v>89</v>
      </c>
      <c r="E198" s="69">
        <v>0</v>
      </c>
      <c r="F198" s="67">
        <v>0</v>
      </c>
      <c r="G198" s="67">
        <v>839</v>
      </c>
    </row>
    <row r="199" spans="1:7" ht="12.75">
      <c r="A199" s="67">
        <v>822</v>
      </c>
      <c r="B199" s="68" t="s">
        <v>271</v>
      </c>
      <c r="C199" s="67">
        <v>971</v>
      </c>
      <c r="D199" s="354">
        <v>170</v>
      </c>
      <c r="E199" s="69">
        <v>0</v>
      </c>
      <c r="F199" s="67">
        <v>0</v>
      </c>
      <c r="G199" s="67">
        <v>155</v>
      </c>
    </row>
    <row r="200" spans="1:7" ht="12.75">
      <c r="A200" s="67">
        <v>823</v>
      </c>
      <c r="B200" s="68" t="s">
        <v>272</v>
      </c>
      <c r="C200" s="67">
        <v>1700</v>
      </c>
      <c r="D200" s="354">
        <v>75</v>
      </c>
      <c r="E200" s="69">
        <v>0</v>
      </c>
      <c r="F200" s="67">
        <v>0</v>
      </c>
      <c r="G200" s="67">
        <v>657</v>
      </c>
    </row>
    <row r="201" spans="1:7" ht="12.75">
      <c r="A201" s="67">
        <v>824</v>
      </c>
      <c r="B201" s="68" t="s">
        <v>273</v>
      </c>
      <c r="C201" s="67">
        <v>1400</v>
      </c>
      <c r="D201" s="354">
        <v>114</v>
      </c>
      <c r="E201" s="69">
        <v>0</v>
      </c>
      <c r="F201" s="67">
        <v>0</v>
      </c>
      <c r="G201" s="67">
        <v>657</v>
      </c>
    </row>
    <row r="202" spans="1:7" ht="12.75">
      <c r="A202" s="67">
        <v>825</v>
      </c>
      <c r="B202" s="68" t="s">
        <v>274</v>
      </c>
      <c r="C202" s="67">
        <v>1300</v>
      </c>
      <c r="D202" s="354">
        <v>127</v>
      </c>
      <c r="E202" s="69">
        <v>0</v>
      </c>
      <c r="F202" s="67">
        <v>0</v>
      </c>
      <c r="G202" s="67">
        <v>657</v>
      </c>
    </row>
    <row r="203" spans="1:7" ht="12.75">
      <c r="A203" s="67">
        <v>826</v>
      </c>
      <c r="B203" s="68" t="s">
        <v>275</v>
      </c>
      <c r="C203" s="67">
        <v>1250</v>
      </c>
      <c r="D203" s="354">
        <v>134</v>
      </c>
      <c r="E203" s="69">
        <v>0</v>
      </c>
      <c r="F203" s="67">
        <v>0</v>
      </c>
      <c r="G203" s="67">
        <v>657</v>
      </c>
    </row>
    <row r="204" spans="1:7" ht="12.75">
      <c r="A204" s="67">
        <v>827</v>
      </c>
      <c r="B204" s="68" t="s">
        <v>276</v>
      </c>
      <c r="C204" s="67">
        <v>3146</v>
      </c>
      <c r="D204" s="354">
        <v>0</v>
      </c>
      <c r="E204" s="69">
        <v>0</v>
      </c>
      <c r="F204" s="67">
        <v>0</v>
      </c>
      <c r="G204" s="67">
        <v>0</v>
      </c>
    </row>
    <row r="205" spans="1:7" ht="12.75">
      <c r="A205" s="67">
        <v>828</v>
      </c>
      <c r="B205" s="68" t="s">
        <v>277</v>
      </c>
      <c r="C205" s="67">
        <v>2913</v>
      </c>
      <c r="D205" s="354">
        <v>0</v>
      </c>
      <c r="E205" s="69">
        <v>0</v>
      </c>
      <c r="F205" s="67">
        <v>0</v>
      </c>
      <c r="G205" s="67">
        <v>0</v>
      </c>
    </row>
    <row r="206" spans="1:7" ht="12.75">
      <c r="A206" s="67">
        <v>829</v>
      </c>
      <c r="B206" s="68" t="s">
        <v>278</v>
      </c>
      <c r="C206" s="67">
        <v>1942</v>
      </c>
      <c r="D206" s="354">
        <v>43</v>
      </c>
      <c r="E206" s="69">
        <v>0</v>
      </c>
      <c r="F206" s="67">
        <v>0</v>
      </c>
      <c r="G206" s="67">
        <v>0</v>
      </c>
    </row>
    <row r="207" spans="1:7" ht="12.75">
      <c r="A207" s="67">
        <v>830</v>
      </c>
      <c r="B207" s="68" t="s">
        <v>279</v>
      </c>
      <c r="C207" s="67">
        <v>1740</v>
      </c>
      <c r="D207" s="354">
        <v>70</v>
      </c>
      <c r="E207" s="69">
        <v>0</v>
      </c>
      <c r="F207" s="67">
        <v>0</v>
      </c>
      <c r="G207" s="67">
        <v>0</v>
      </c>
    </row>
    <row r="208" spans="1:7" ht="12.75">
      <c r="A208" s="67">
        <v>831</v>
      </c>
      <c r="B208" s="68" t="s">
        <v>280</v>
      </c>
      <c r="C208" s="67">
        <v>971</v>
      </c>
      <c r="D208" s="354">
        <v>170</v>
      </c>
      <c r="E208" s="69">
        <v>0</v>
      </c>
      <c r="F208" s="67">
        <v>0</v>
      </c>
      <c r="G208" s="67">
        <v>0</v>
      </c>
    </row>
    <row r="209" spans="1:7" ht="12.75">
      <c r="A209" s="67">
        <v>832</v>
      </c>
      <c r="B209" s="68" t="s">
        <v>281</v>
      </c>
      <c r="C209" s="67">
        <v>2913</v>
      </c>
      <c r="D209" s="354">
        <v>0</v>
      </c>
      <c r="E209" s="69">
        <v>0</v>
      </c>
      <c r="F209" s="67">
        <v>0</v>
      </c>
      <c r="G209" s="67">
        <v>0</v>
      </c>
    </row>
    <row r="210" spans="1:7" ht="12.75">
      <c r="A210" s="67">
        <v>833</v>
      </c>
      <c r="B210" s="68" t="s">
        <v>282</v>
      </c>
      <c r="C210" s="67">
        <v>971</v>
      </c>
      <c r="D210" s="354">
        <v>170</v>
      </c>
      <c r="E210" s="69">
        <v>0</v>
      </c>
      <c r="F210" s="67">
        <v>0</v>
      </c>
      <c r="G210" s="67">
        <v>155</v>
      </c>
    </row>
    <row r="211" spans="1:7" ht="12.75">
      <c r="A211" s="67">
        <v>834</v>
      </c>
      <c r="B211" s="68" t="s">
        <v>283</v>
      </c>
      <c r="C211" s="67">
        <v>971</v>
      </c>
      <c r="D211" s="354">
        <v>170</v>
      </c>
      <c r="E211" s="69">
        <v>0</v>
      </c>
      <c r="F211" s="67">
        <v>0</v>
      </c>
      <c r="G211" s="67">
        <v>155</v>
      </c>
    </row>
    <row r="212" spans="1:7" ht="12.75">
      <c r="A212" s="67">
        <v>835</v>
      </c>
      <c r="B212" s="68" t="s">
        <v>284</v>
      </c>
      <c r="C212" s="67">
        <v>971</v>
      </c>
      <c r="D212" s="354">
        <v>170</v>
      </c>
      <c r="E212" s="69">
        <v>0</v>
      </c>
      <c r="F212" s="67">
        <v>0</v>
      </c>
      <c r="G212" s="67">
        <v>0</v>
      </c>
    </row>
    <row r="213" spans="1:7" ht="12.75">
      <c r="A213" s="67">
        <v>836</v>
      </c>
      <c r="B213" s="68" t="s">
        <v>285</v>
      </c>
      <c r="C213" s="67">
        <v>971</v>
      </c>
      <c r="D213" s="354">
        <v>170</v>
      </c>
      <c r="E213" s="69">
        <v>0</v>
      </c>
      <c r="F213" s="67">
        <v>0</v>
      </c>
      <c r="G213" s="67">
        <v>155</v>
      </c>
    </row>
    <row r="214" spans="1:7" ht="12.75">
      <c r="A214" s="67">
        <v>837</v>
      </c>
      <c r="B214" s="68" t="s">
        <v>286</v>
      </c>
      <c r="C214" s="67">
        <v>971</v>
      </c>
      <c r="D214" s="354">
        <v>170</v>
      </c>
      <c r="E214" s="69">
        <v>0</v>
      </c>
      <c r="F214" s="67">
        <v>0</v>
      </c>
      <c r="G214" s="67">
        <v>155</v>
      </c>
    </row>
    <row r="215" spans="1:7" ht="12.75">
      <c r="A215" s="67">
        <v>839</v>
      </c>
      <c r="B215" s="68" t="s">
        <v>287</v>
      </c>
      <c r="C215" s="67">
        <v>971</v>
      </c>
      <c r="D215" s="354">
        <v>170</v>
      </c>
      <c r="E215" s="69">
        <v>0</v>
      </c>
      <c r="F215" s="67">
        <v>0</v>
      </c>
      <c r="G215" s="67">
        <v>155</v>
      </c>
    </row>
    <row r="216" spans="1:7" ht="12.75">
      <c r="A216" s="67">
        <v>840</v>
      </c>
      <c r="B216" s="68" t="s">
        <v>288</v>
      </c>
      <c r="C216" s="67">
        <v>971</v>
      </c>
      <c r="D216" s="354">
        <v>170</v>
      </c>
      <c r="E216" s="69">
        <v>0</v>
      </c>
      <c r="F216" s="67">
        <v>0</v>
      </c>
      <c r="G216" s="67">
        <v>155</v>
      </c>
    </row>
    <row r="217" spans="1:7" ht="12.75">
      <c r="A217" s="67">
        <v>842</v>
      </c>
      <c r="B217" s="68" t="s">
        <v>289</v>
      </c>
      <c r="C217" s="67">
        <v>1500</v>
      </c>
      <c r="D217" s="354">
        <v>101</v>
      </c>
      <c r="E217" s="69">
        <v>0</v>
      </c>
      <c r="F217" s="67">
        <v>0</v>
      </c>
      <c r="G217" s="67">
        <v>0</v>
      </c>
    </row>
    <row r="218" spans="1:7" ht="12.75">
      <c r="A218" s="67">
        <v>843</v>
      </c>
      <c r="B218" s="68" t="s">
        <v>290</v>
      </c>
      <c r="C218" s="67">
        <v>1250</v>
      </c>
      <c r="D218" s="354">
        <v>134</v>
      </c>
      <c r="E218" s="69">
        <v>0</v>
      </c>
      <c r="F218" s="67">
        <v>0</v>
      </c>
      <c r="G218" s="67">
        <v>0</v>
      </c>
    </row>
    <row r="219" spans="1:7" ht="12.75">
      <c r="A219" s="67">
        <v>844</v>
      </c>
      <c r="B219" s="68" t="s">
        <v>291</v>
      </c>
      <c r="C219" s="67">
        <v>1660</v>
      </c>
      <c r="D219" s="354">
        <v>80</v>
      </c>
      <c r="E219" s="69">
        <v>0</v>
      </c>
      <c r="F219" s="67">
        <v>0</v>
      </c>
      <c r="G219" s="67">
        <v>0</v>
      </c>
    </row>
    <row r="220" spans="1:7" ht="12.75">
      <c r="A220" s="67">
        <v>849</v>
      </c>
      <c r="B220" s="68" t="s">
        <v>292</v>
      </c>
      <c r="C220" s="67">
        <v>971</v>
      </c>
      <c r="D220" s="354">
        <v>170</v>
      </c>
      <c r="E220" s="69">
        <v>0</v>
      </c>
      <c r="F220" s="67">
        <v>0</v>
      </c>
      <c r="G220" s="67">
        <v>0</v>
      </c>
    </row>
    <row r="221" spans="1:7" ht="12.75">
      <c r="A221" s="67">
        <v>900</v>
      </c>
      <c r="B221" s="68" t="s">
        <v>293</v>
      </c>
      <c r="C221" s="67">
        <v>3146</v>
      </c>
      <c r="D221" s="354">
        <v>0</v>
      </c>
      <c r="E221" s="69">
        <v>0</v>
      </c>
      <c r="F221" s="67">
        <v>0</v>
      </c>
      <c r="G221" s="67">
        <v>0</v>
      </c>
    </row>
    <row r="222" spans="1:7" ht="12.75">
      <c r="A222" s="67">
        <v>901</v>
      </c>
      <c r="B222" s="68" t="s">
        <v>294</v>
      </c>
      <c r="C222" s="67">
        <v>2913</v>
      </c>
      <c r="D222" s="354">
        <v>0</v>
      </c>
      <c r="E222" s="69">
        <v>0</v>
      </c>
      <c r="F222" s="67">
        <v>0</v>
      </c>
      <c r="G222" s="67">
        <v>0</v>
      </c>
    </row>
    <row r="223" spans="1:7" ht="12.75">
      <c r="A223" s="67">
        <v>902</v>
      </c>
      <c r="B223" s="68" t="s">
        <v>295</v>
      </c>
      <c r="C223" s="67">
        <v>2913</v>
      </c>
      <c r="D223" s="354">
        <v>0</v>
      </c>
      <c r="E223" s="69">
        <v>20</v>
      </c>
      <c r="F223" s="67">
        <v>0</v>
      </c>
      <c r="G223" s="67">
        <v>0</v>
      </c>
    </row>
    <row r="224" spans="1:7" ht="12.75">
      <c r="A224" s="67">
        <v>903</v>
      </c>
      <c r="B224" s="68" t="s">
        <v>296</v>
      </c>
      <c r="C224" s="67">
        <v>2913</v>
      </c>
      <c r="D224" s="354">
        <v>0</v>
      </c>
      <c r="E224" s="69">
        <v>0</v>
      </c>
      <c r="F224" s="67">
        <v>0</v>
      </c>
      <c r="G224" s="67">
        <v>0</v>
      </c>
    </row>
    <row r="225" spans="1:7" ht="12.75">
      <c r="A225" s="67">
        <v>904</v>
      </c>
      <c r="B225" s="68" t="s">
        <v>297</v>
      </c>
      <c r="C225" s="67">
        <v>2100</v>
      </c>
      <c r="D225" s="354">
        <v>23</v>
      </c>
      <c r="E225" s="69">
        <v>0</v>
      </c>
      <c r="F225" s="67">
        <v>0</v>
      </c>
      <c r="G225" s="67">
        <v>0</v>
      </c>
    </row>
    <row r="226" spans="1:7" ht="12.75">
      <c r="A226" s="67">
        <v>905</v>
      </c>
      <c r="B226" s="68" t="s">
        <v>298</v>
      </c>
      <c r="C226" s="67">
        <v>1800</v>
      </c>
      <c r="D226" s="354">
        <v>62</v>
      </c>
      <c r="E226" s="69">
        <v>0</v>
      </c>
      <c r="F226" s="67">
        <v>0</v>
      </c>
      <c r="G226" s="67">
        <v>0</v>
      </c>
    </row>
    <row r="227" spans="1:7" ht="12.75">
      <c r="A227" s="67">
        <v>906</v>
      </c>
      <c r="B227" s="68" t="s">
        <v>299</v>
      </c>
      <c r="C227" s="67">
        <v>1942</v>
      </c>
      <c r="D227" s="354">
        <v>43</v>
      </c>
      <c r="E227" s="69">
        <v>0</v>
      </c>
      <c r="F227" s="67">
        <v>0</v>
      </c>
      <c r="G227" s="67">
        <v>0</v>
      </c>
    </row>
    <row r="228" spans="1:7" ht="12.75">
      <c r="A228" s="67">
        <v>907</v>
      </c>
      <c r="B228" s="68" t="s">
        <v>300</v>
      </c>
      <c r="C228" s="67">
        <v>1782</v>
      </c>
      <c r="D228" s="354">
        <v>64</v>
      </c>
      <c r="E228" s="69">
        <v>0</v>
      </c>
      <c r="F228" s="67">
        <v>0</v>
      </c>
      <c r="G228" s="67">
        <v>0</v>
      </c>
    </row>
    <row r="229" spans="1:7" ht="12.75">
      <c r="A229" s="67">
        <v>908</v>
      </c>
      <c r="B229" s="68" t="s">
        <v>301</v>
      </c>
      <c r="C229" s="67">
        <v>1692</v>
      </c>
      <c r="D229" s="354">
        <v>76</v>
      </c>
      <c r="E229" s="69">
        <v>0</v>
      </c>
      <c r="F229" s="67">
        <v>0</v>
      </c>
      <c r="G229" s="67">
        <v>0</v>
      </c>
    </row>
    <row r="230" spans="1:7" ht="12.75">
      <c r="A230" s="67">
        <v>909</v>
      </c>
      <c r="B230" s="68" t="s">
        <v>302</v>
      </c>
      <c r="C230" s="67">
        <v>1592</v>
      </c>
      <c r="D230" s="354">
        <v>89</v>
      </c>
      <c r="E230" s="69">
        <v>0</v>
      </c>
      <c r="F230" s="67">
        <v>0</v>
      </c>
      <c r="G230" s="67">
        <v>0</v>
      </c>
    </row>
    <row r="231" spans="1:7" ht="12.75">
      <c r="A231" s="67">
        <v>910</v>
      </c>
      <c r="B231" s="68" t="s">
        <v>186</v>
      </c>
      <c r="C231" s="67">
        <v>1942</v>
      </c>
      <c r="D231" s="354">
        <v>43</v>
      </c>
      <c r="E231" s="69">
        <v>150</v>
      </c>
      <c r="F231" s="67">
        <v>0</v>
      </c>
      <c r="G231" s="67">
        <v>0</v>
      </c>
    </row>
    <row r="232" spans="1:7" ht="12.75">
      <c r="A232" s="67">
        <v>911</v>
      </c>
      <c r="B232" s="68" t="s">
        <v>196</v>
      </c>
      <c r="C232" s="67">
        <v>1592</v>
      </c>
      <c r="D232" s="354">
        <v>89</v>
      </c>
      <c r="E232" s="69">
        <v>0</v>
      </c>
      <c r="F232" s="67">
        <v>0</v>
      </c>
      <c r="G232" s="67">
        <v>0</v>
      </c>
    </row>
    <row r="233" spans="1:7" ht="12.75">
      <c r="A233" s="67">
        <v>912</v>
      </c>
      <c r="B233" s="68" t="s">
        <v>303</v>
      </c>
      <c r="C233" s="67">
        <v>1782</v>
      </c>
      <c r="D233" s="354">
        <v>64</v>
      </c>
      <c r="E233" s="69">
        <v>17</v>
      </c>
      <c r="F233" s="67">
        <v>0</v>
      </c>
      <c r="G233" s="67">
        <v>0</v>
      </c>
    </row>
    <row r="234" spans="1:7" ht="12.75">
      <c r="A234" s="67">
        <v>913</v>
      </c>
      <c r="B234" s="68" t="s">
        <v>304</v>
      </c>
      <c r="C234" s="67">
        <v>1700</v>
      </c>
      <c r="D234" s="354">
        <v>75</v>
      </c>
      <c r="E234" s="69">
        <v>0</v>
      </c>
      <c r="F234" s="67">
        <v>0</v>
      </c>
      <c r="G234" s="67">
        <v>0</v>
      </c>
    </row>
    <row r="235" spans="1:7" ht="12.75">
      <c r="A235" s="67">
        <v>914</v>
      </c>
      <c r="B235" s="68" t="s">
        <v>305</v>
      </c>
      <c r="C235" s="67">
        <v>1600</v>
      </c>
      <c r="D235" s="354">
        <v>88</v>
      </c>
      <c r="E235" s="69">
        <v>0</v>
      </c>
      <c r="F235" s="67">
        <v>0</v>
      </c>
      <c r="G235" s="67">
        <v>0</v>
      </c>
    </row>
    <row r="236" spans="1:7" ht="12.75">
      <c r="A236" s="67">
        <v>915</v>
      </c>
      <c r="B236" s="68" t="s">
        <v>306</v>
      </c>
      <c r="C236" s="67">
        <v>1700</v>
      </c>
      <c r="D236" s="354">
        <v>75</v>
      </c>
      <c r="E236" s="69">
        <v>150</v>
      </c>
      <c r="F236" s="67">
        <v>0</v>
      </c>
      <c r="G236" s="67">
        <v>0</v>
      </c>
    </row>
    <row r="237" spans="1:7" ht="12.75">
      <c r="A237" s="67">
        <v>916</v>
      </c>
      <c r="B237" s="68" t="s">
        <v>307</v>
      </c>
      <c r="C237" s="67">
        <v>1300</v>
      </c>
      <c r="D237" s="354">
        <v>127</v>
      </c>
      <c r="E237" s="69">
        <v>0</v>
      </c>
      <c r="F237" s="67">
        <v>0</v>
      </c>
      <c r="G237" s="67">
        <v>0</v>
      </c>
    </row>
    <row r="238" spans="1:7" ht="12.75">
      <c r="A238" s="67">
        <v>917</v>
      </c>
      <c r="B238" s="68" t="s">
        <v>308</v>
      </c>
      <c r="C238" s="67">
        <v>971</v>
      </c>
      <c r="D238" s="354">
        <v>170</v>
      </c>
      <c r="E238" s="69">
        <v>0</v>
      </c>
      <c r="F238" s="67">
        <v>0</v>
      </c>
      <c r="G238" s="67">
        <v>0</v>
      </c>
    </row>
    <row r="239" spans="1:7" ht="12.75">
      <c r="A239" s="67">
        <v>918</v>
      </c>
      <c r="B239" s="68" t="s">
        <v>204</v>
      </c>
      <c r="C239" s="67">
        <v>971</v>
      </c>
      <c r="D239" s="354">
        <v>170</v>
      </c>
      <c r="E239" s="69">
        <v>150</v>
      </c>
      <c r="F239" s="67">
        <v>0</v>
      </c>
      <c r="G239" s="67">
        <v>0</v>
      </c>
    </row>
    <row r="240" spans="1:7" ht="12.75">
      <c r="A240" s="67">
        <v>919</v>
      </c>
      <c r="B240" s="68" t="s">
        <v>309</v>
      </c>
      <c r="C240" s="67">
        <v>971</v>
      </c>
      <c r="D240" s="354">
        <v>170</v>
      </c>
      <c r="E240" s="69">
        <v>17</v>
      </c>
      <c r="F240" s="67">
        <v>0</v>
      </c>
      <c r="G240" s="67">
        <v>0</v>
      </c>
    </row>
    <row r="241" spans="1:7" ht="12.75">
      <c r="A241" s="67">
        <v>920</v>
      </c>
      <c r="B241" s="68" t="s">
        <v>310</v>
      </c>
      <c r="C241" s="67">
        <v>971</v>
      </c>
      <c r="D241" s="354">
        <v>170</v>
      </c>
      <c r="E241" s="69">
        <v>150</v>
      </c>
      <c r="F241" s="67">
        <v>0</v>
      </c>
      <c r="G241" s="67">
        <v>0</v>
      </c>
    </row>
    <row r="242" spans="1:7" ht="12.75">
      <c r="A242" s="67">
        <v>921</v>
      </c>
      <c r="B242" s="68" t="s">
        <v>311</v>
      </c>
      <c r="C242" s="67">
        <v>971</v>
      </c>
      <c r="D242" s="354">
        <v>170</v>
      </c>
      <c r="E242" s="69">
        <v>0</v>
      </c>
      <c r="F242" s="67">
        <v>0</v>
      </c>
      <c r="G242" s="67">
        <v>0</v>
      </c>
    </row>
    <row r="243" spans="1:7" ht="12.75">
      <c r="A243" s="67">
        <v>922</v>
      </c>
      <c r="B243" s="68" t="s">
        <v>312</v>
      </c>
      <c r="C243" s="67">
        <v>971</v>
      </c>
      <c r="D243" s="354">
        <v>170</v>
      </c>
      <c r="E243" s="69">
        <v>0</v>
      </c>
      <c r="F243" s="67">
        <v>0</v>
      </c>
      <c r="G243" s="67">
        <v>0</v>
      </c>
    </row>
    <row r="244" spans="1:7" ht="12.75">
      <c r="A244" s="67">
        <v>923</v>
      </c>
      <c r="B244" s="68" t="s">
        <v>313</v>
      </c>
      <c r="C244" s="67">
        <v>971</v>
      </c>
      <c r="D244" s="354">
        <v>170</v>
      </c>
      <c r="E244" s="69">
        <v>0</v>
      </c>
      <c r="F244" s="67">
        <v>0</v>
      </c>
      <c r="G244" s="67">
        <v>0</v>
      </c>
    </row>
    <row r="245" spans="1:7" ht="12.75">
      <c r="A245" s="67">
        <v>924</v>
      </c>
      <c r="B245" s="68" t="s">
        <v>314</v>
      </c>
      <c r="C245" s="67">
        <v>971</v>
      </c>
      <c r="D245" s="354">
        <v>170</v>
      </c>
      <c r="E245" s="69">
        <v>150</v>
      </c>
      <c r="F245" s="67">
        <v>0</v>
      </c>
      <c r="G245" s="67">
        <v>0</v>
      </c>
    </row>
    <row r="246" spans="1:7" ht="12.75">
      <c r="A246" s="67">
        <v>925</v>
      </c>
      <c r="B246" s="68" t="s">
        <v>106</v>
      </c>
      <c r="C246" s="67">
        <v>971</v>
      </c>
      <c r="D246" s="354">
        <v>170</v>
      </c>
      <c r="E246" s="69">
        <v>0</v>
      </c>
      <c r="F246" s="67">
        <v>0</v>
      </c>
      <c r="G246" s="67">
        <v>0</v>
      </c>
    </row>
    <row r="247" spans="1:7" ht="12.75">
      <c r="A247" s="67">
        <v>926</v>
      </c>
      <c r="B247" s="68" t="s">
        <v>228</v>
      </c>
      <c r="C247" s="67">
        <v>1500</v>
      </c>
      <c r="D247" s="354">
        <v>101</v>
      </c>
      <c r="E247" s="69">
        <v>150</v>
      </c>
      <c r="F247" s="67">
        <v>0</v>
      </c>
      <c r="G247" s="67">
        <v>0</v>
      </c>
    </row>
    <row r="248" spans="1:7" ht="12.75">
      <c r="A248" s="67">
        <v>928</v>
      </c>
      <c r="B248" s="68" t="s">
        <v>199</v>
      </c>
      <c r="C248" s="67">
        <v>1500</v>
      </c>
      <c r="D248" s="354">
        <v>101</v>
      </c>
      <c r="E248" s="69">
        <v>150</v>
      </c>
      <c r="F248" s="67">
        <v>0</v>
      </c>
      <c r="G248" s="67">
        <v>0</v>
      </c>
    </row>
    <row r="249" spans="1:7" ht="12.75">
      <c r="A249" s="67">
        <v>929</v>
      </c>
      <c r="B249" s="68" t="s">
        <v>315</v>
      </c>
      <c r="C249" s="67">
        <v>971</v>
      </c>
      <c r="D249" s="354">
        <v>170</v>
      </c>
      <c r="E249" s="69">
        <v>150</v>
      </c>
      <c r="F249" s="67">
        <v>0</v>
      </c>
      <c r="G249" s="67">
        <v>0</v>
      </c>
    </row>
    <row r="250" spans="1:7" ht="12.75">
      <c r="A250" s="67">
        <v>930</v>
      </c>
      <c r="B250" s="68" t="s">
        <v>316</v>
      </c>
      <c r="C250" s="67">
        <v>1592</v>
      </c>
      <c r="D250" s="354">
        <v>89</v>
      </c>
      <c r="E250" s="69">
        <v>0</v>
      </c>
      <c r="F250" s="67">
        <v>0</v>
      </c>
      <c r="G250" s="67">
        <v>0</v>
      </c>
    </row>
    <row r="251" spans="1:7" ht="12.75">
      <c r="A251" s="67">
        <v>931</v>
      </c>
      <c r="B251" s="68" t="s">
        <v>317</v>
      </c>
      <c r="C251" s="67">
        <v>971</v>
      </c>
      <c r="D251" s="354">
        <v>170</v>
      </c>
      <c r="E251" s="69">
        <v>0</v>
      </c>
      <c r="F251" s="67">
        <v>0</v>
      </c>
      <c r="G251" s="67">
        <v>0</v>
      </c>
    </row>
    <row r="252" spans="1:7" ht="12.75">
      <c r="A252" s="67">
        <v>932</v>
      </c>
      <c r="B252" s="68" t="s">
        <v>318</v>
      </c>
      <c r="C252" s="67">
        <v>2220</v>
      </c>
      <c r="D252" s="354">
        <v>7</v>
      </c>
      <c r="E252" s="69">
        <v>0</v>
      </c>
      <c r="F252" s="67">
        <v>0</v>
      </c>
      <c r="G252" s="67">
        <v>0</v>
      </c>
    </row>
    <row r="253" spans="1:7" ht="12.75">
      <c r="A253" s="77">
        <v>933</v>
      </c>
      <c r="B253" s="78" t="s">
        <v>319</v>
      </c>
      <c r="C253" s="77">
        <v>1580</v>
      </c>
      <c r="D253" s="354">
        <v>90</v>
      </c>
      <c r="E253" s="79">
        <v>0</v>
      </c>
      <c r="F253" s="77">
        <v>0</v>
      </c>
      <c r="G253" s="77">
        <v>0</v>
      </c>
    </row>
    <row r="254" spans="1:7" ht="12.75">
      <c r="A254" s="67">
        <v>934</v>
      </c>
      <c r="B254" s="68" t="s">
        <v>320</v>
      </c>
      <c r="C254" s="67">
        <v>922</v>
      </c>
      <c r="D254" s="354">
        <v>176</v>
      </c>
      <c r="E254" s="69">
        <v>0</v>
      </c>
      <c r="F254" s="67">
        <v>0</v>
      </c>
      <c r="G254" s="67">
        <v>0</v>
      </c>
    </row>
    <row r="255" spans="1:7" ht="12.75">
      <c r="A255" s="67">
        <v>935</v>
      </c>
      <c r="B255" s="68" t="s">
        <v>321</v>
      </c>
      <c r="C255" s="67">
        <v>971</v>
      </c>
      <c r="D255" s="354">
        <v>170</v>
      </c>
      <c r="E255" s="69">
        <v>0</v>
      </c>
      <c r="F255" s="67">
        <v>0</v>
      </c>
      <c r="G255" s="67">
        <v>0</v>
      </c>
    </row>
    <row r="256" spans="1:7" ht="12.75">
      <c r="A256" s="67">
        <v>936</v>
      </c>
      <c r="B256" s="68" t="s">
        <v>322</v>
      </c>
      <c r="C256" s="67">
        <v>1250</v>
      </c>
      <c r="D256" s="354">
        <v>134</v>
      </c>
      <c r="E256" s="69">
        <v>0</v>
      </c>
      <c r="F256" s="67">
        <v>0</v>
      </c>
      <c r="G256" s="67">
        <v>0</v>
      </c>
    </row>
    <row r="257" spans="1:7" ht="12.75">
      <c r="A257" s="74">
        <v>937</v>
      </c>
      <c r="B257" s="75" t="s">
        <v>323</v>
      </c>
      <c r="C257" s="74">
        <v>971</v>
      </c>
      <c r="D257" s="354">
        <v>170</v>
      </c>
      <c r="E257" s="76">
        <v>0</v>
      </c>
      <c r="F257" s="74">
        <v>0</v>
      </c>
      <c r="G257" s="74">
        <v>0</v>
      </c>
    </row>
    <row r="258" spans="1:7" ht="12.75">
      <c r="A258" s="67">
        <v>940</v>
      </c>
      <c r="B258" s="68" t="s">
        <v>324</v>
      </c>
      <c r="C258" s="67">
        <v>1692</v>
      </c>
      <c r="D258" s="354">
        <v>76</v>
      </c>
      <c r="E258" s="69">
        <v>0</v>
      </c>
      <c r="F258" s="67">
        <v>0</v>
      </c>
      <c r="G258" s="67">
        <v>0</v>
      </c>
    </row>
    <row r="259" spans="1:7" ht="12.75">
      <c r="A259" s="67">
        <v>941</v>
      </c>
      <c r="B259" s="68" t="s">
        <v>325</v>
      </c>
      <c r="C259" s="67">
        <v>1942</v>
      </c>
      <c r="D259" s="354">
        <v>43</v>
      </c>
      <c r="E259" s="69">
        <v>0</v>
      </c>
      <c r="F259" s="67">
        <v>0</v>
      </c>
      <c r="G259" s="67">
        <v>0</v>
      </c>
    </row>
    <row r="260" spans="1:7" ht="12.75">
      <c r="A260" s="67">
        <v>942</v>
      </c>
      <c r="B260" s="68" t="s">
        <v>326</v>
      </c>
      <c r="C260" s="67">
        <v>1782</v>
      </c>
      <c r="D260" s="354">
        <v>64</v>
      </c>
      <c r="E260" s="69">
        <v>0</v>
      </c>
      <c r="F260" s="67">
        <v>0</v>
      </c>
      <c r="G260" s="67">
        <v>0</v>
      </c>
    </row>
    <row r="261" spans="1:7" ht="12.75">
      <c r="A261" s="67">
        <v>943</v>
      </c>
      <c r="B261" s="68" t="s">
        <v>227</v>
      </c>
      <c r="C261" s="67">
        <v>1500</v>
      </c>
      <c r="D261" s="354">
        <v>101</v>
      </c>
      <c r="E261" s="69">
        <v>150</v>
      </c>
      <c r="F261" s="67">
        <v>0</v>
      </c>
      <c r="G261" s="67">
        <v>0</v>
      </c>
    </row>
    <row r="262" spans="1:7" ht="12.75">
      <c r="A262" s="67">
        <v>944</v>
      </c>
      <c r="B262" s="68" t="s">
        <v>327</v>
      </c>
      <c r="C262" s="67">
        <v>1400</v>
      </c>
      <c r="D262" s="354">
        <v>114</v>
      </c>
      <c r="E262" s="69">
        <v>0</v>
      </c>
      <c r="F262" s="67">
        <v>0</v>
      </c>
      <c r="G262" s="67">
        <v>0</v>
      </c>
    </row>
    <row r="263" spans="1:7" ht="12.75">
      <c r="A263" s="67">
        <v>945</v>
      </c>
      <c r="B263" s="68" t="s">
        <v>328</v>
      </c>
      <c r="C263" s="67">
        <v>1782</v>
      </c>
      <c r="D263" s="354">
        <v>64</v>
      </c>
      <c r="E263" s="69">
        <v>0</v>
      </c>
      <c r="F263" s="67">
        <v>0</v>
      </c>
      <c r="G263" s="67">
        <v>669</v>
      </c>
    </row>
    <row r="264" spans="1:7" ht="12.75">
      <c r="A264" s="67">
        <v>946</v>
      </c>
      <c r="B264" s="68" t="s">
        <v>262</v>
      </c>
      <c r="C264" s="67">
        <v>971</v>
      </c>
      <c r="D264" s="354">
        <v>170</v>
      </c>
      <c r="E264" s="69">
        <v>0</v>
      </c>
      <c r="F264" s="67">
        <v>0</v>
      </c>
      <c r="G264" s="67">
        <v>620</v>
      </c>
    </row>
    <row r="265" spans="1:7" ht="12.75">
      <c r="A265" s="67">
        <v>947</v>
      </c>
      <c r="B265" s="68" t="s">
        <v>329</v>
      </c>
      <c r="C265" s="67">
        <v>971</v>
      </c>
      <c r="D265" s="354">
        <v>170</v>
      </c>
      <c r="E265" s="69">
        <v>0</v>
      </c>
      <c r="F265" s="67">
        <v>0</v>
      </c>
      <c r="G265" s="67">
        <v>155</v>
      </c>
    </row>
    <row r="266" spans="1:7" ht="12.75">
      <c r="A266" s="67">
        <v>951</v>
      </c>
      <c r="B266" s="68" t="s">
        <v>214</v>
      </c>
      <c r="C266" s="67">
        <v>1500</v>
      </c>
      <c r="D266" s="354">
        <v>101</v>
      </c>
      <c r="E266" s="69">
        <v>150</v>
      </c>
      <c r="F266" s="67">
        <v>0</v>
      </c>
      <c r="G266" s="67">
        <v>0</v>
      </c>
    </row>
    <row r="267" spans="1:7" ht="12.75">
      <c r="A267" s="67">
        <v>952</v>
      </c>
      <c r="B267" s="68" t="s">
        <v>330</v>
      </c>
      <c r="C267" s="67">
        <v>971</v>
      </c>
      <c r="D267" s="354">
        <v>170</v>
      </c>
      <c r="E267" s="69">
        <v>0</v>
      </c>
      <c r="F267" s="67">
        <v>0</v>
      </c>
      <c r="G267" s="67">
        <v>155</v>
      </c>
    </row>
    <row r="268" spans="1:7" ht="12.75">
      <c r="A268" s="67">
        <v>953</v>
      </c>
      <c r="B268" s="68" t="s">
        <v>331</v>
      </c>
      <c r="C268" s="67">
        <v>971</v>
      </c>
      <c r="D268" s="354">
        <v>170</v>
      </c>
      <c r="E268" s="69">
        <v>0</v>
      </c>
      <c r="F268" s="67">
        <v>0</v>
      </c>
      <c r="G268" s="67">
        <v>155</v>
      </c>
    </row>
    <row r="269" spans="1:7" ht="12.75">
      <c r="A269" s="67">
        <v>954</v>
      </c>
      <c r="B269" s="68" t="s">
        <v>332</v>
      </c>
      <c r="C269" s="67">
        <v>1600</v>
      </c>
      <c r="D269" s="354">
        <v>88</v>
      </c>
      <c r="E269" s="69">
        <v>0</v>
      </c>
      <c r="F269" s="67">
        <v>0</v>
      </c>
      <c r="G269" s="67">
        <v>657</v>
      </c>
    </row>
    <row r="270" spans="1:7" ht="12.75">
      <c r="A270" s="67">
        <v>955</v>
      </c>
      <c r="B270" s="68" t="s">
        <v>248</v>
      </c>
      <c r="C270" s="67">
        <v>971</v>
      </c>
      <c r="D270" s="354">
        <v>170</v>
      </c>
      <c r="E270" s="69">
        <v>0</v>
      </c>
      <c r="F270" s="67">
        <v>0</v>
      </c>
      <c r="G270" s="67">
        <v>0</v>
      </c>
    </row>
    <row r="271" spans="1:7" ht="12.75">
      <c r="A271" s="67">
        <v>956</v>
      </c>
      <c r="B271" s="68" t="s">
        <v>333</v>
      </c>
      <c r="C271" s="67">
        <v>1692</v>
      </c>
      <c r="D271" s="354">
        <v>76</v>
      </c>
      <c r="E271" s="69">
        <v>0</v>
      </c>
      <c r="F271" s="67">
        <v>0</v>
      </c>
      <c r="G271" s="67">
        <v>663</v>
      </c>
    </row>
    <row r="272" spans="1:7" ht="12.75">
      <c r="A272" s="67">
        <v>957</v>
      </c>
      <c r="B272" s="68" t="s">
        <v>334</v>
      </c>
      <c r="C272" s="67">
        <v>1700</v>
      </c>
      <c r="D272" s="354">
        <v>75</v>
      </c>
      <c r="E272" s="69">
        <v>0</v>
      </c>
      <c r="F272" s="67">
        <v>0</v>
      </c>
      <c r="G272" s="67">
        <v>0</v>
      </c>
    </row>
    <row r="273" spans="1:7" ht="12.75">
      <c r="A273" s="67">
        <v>958</v>
      </c>
      <c r="B273" s="68" t="s">
        <v>335</v>
      </c>
      <c r="C273" s="67">
        <v>2913</v>
      </c>
      <c r="D273" s="354">
        <v>0</v>
      </c>
      <c r="E273" s="69">
        <v>0</v>
      </c>
      <c r="F273" s="67">
        <v>0</v>
      </c>
      <c r="G273" s="67">
        <v>0</v>
      </c>
    </row>
    <row r="274" spans="1:7" ht="12.75">
      <c r="A274" s="67">
        <v>959</v>
      </c>
      <c r="B274" s="68" t="s">
        <v>336</v>
      </c>
      <c r="C274" s="67">
        <v>2220</v>
      </c>
      <c r="D274" s="354">
        <v>7</v>
      </c>
      <c r="E274" s="69">
        <v>0</v>
      </c>
      <c r="F274" s="67">
        <v>0</v>
      </c>
      <c r="G274" s="67">
        <v>0</v>
      </c>
    </row>
    <row r="275" spans="1:7" ht="12.75">
      <c r="A275" s="67">
        <v>960</v>
      </c>
      <c r="B275" s="68" t="s">
        <v>337</v>
      </c>
      <c r="C275" s="67">
        <v>1750</v>
      </c>
      <c r="D275" s="354">
        <v>68</v>
      </c>
      <c r="E275" s="69">
        <v>0</v>
      </c>
      <c r="F275" s="67">
        <v>0</v>
      </c>
      <c r="G275" s="67">
        <v>0</v>
      </c>
    </row>
    <row r="276" spans="1:7" ht="12.75">
      <c r="A276" s="67">
        <v>961</v>
      </c>
      <c r="B276" s="68" t="s">
        <v>338</v>
      </c>
      <c r="C276" s="67">
        <v>1580</v>
      </c>
      <c r="D276" s="354">
        <v>90</v>
      </c>
      <c r="E276" s="69">
        <v>0</v>
      </c>
      <c r="F276" s="67">
        <v>0</v>
      </c>
      <c r="G276" s="67">
        <v>0</v>
      </c>
    </row>
    <row r="277" spans="1:7" ht="12.75">
      <c r="A277" s="67">
        <v>962</v>
      </c>
      <c r="B277" s="68" t="s">
        <v>339</v>
      </c>
      <c r="C277" s="67">
        <v>1580</v>
      </c>
      <c r="D277" s="354">
        <v>90</v>
      </c>
      <c r="E277" s="69">
        <v>0</v>
      </c>
      <c r="F277" s="67">
        <v>0</v>
      </c>
      <c r="G277" s="67">
        <v>0</v>
      </c>
    </row>
    <row r="278" spans="1:7" ht="12.75">
      <c r="A278" s="67">
        <v>963</v>
      </c>
      <c r="B278" s="68" t="s">
        <v>340</v>
      </c>
      <c r="C278" s="67">
        <v>951</v>
      </c>
      <c r="D278" s="354">
        <v>173</v>
      </c>
      <c r="E278" s="69">
        <v>0</v>
      </c>
      <c r="F278" s="67">
        <v>0</v>
      </c>
      <c r="G278" s="67">
        <v>0</v>
      </c>
    </row>
    <row r="279" spans="1:7" ht="12.75">
      <c r="A279" s="67">
        <v>965</v>
      </c>
      <c r="B279" s="68" t="s">
        <v>341</v>
      </c>
      <c r="C279" s="67">
        <v>2913</v>
      </c>
      <c r="D279" s="354">
        <v>0</v>
      </c>
      <c r="E279" s="69">
        <v>0</v>
      </c>
      <c r="F279" s="67">
        <v>0</v>
      </c>
      <c r="G279" s="67">
        <v>0</v>
      </c>
    </row>
    <row r="280" spans="1:7" ht="12.75">
      <c r="A280" s="67">
        <v>966</v>
      </c>
      <c r="B280" s="68" t="s">
        <v>342</v>
      </c>
      <c r="C280" s="67">
        <v>1850</v>
      </c>
      <c r="D280" s="354">
        <v>55</v>
      </c>
      <c r="E280" s="69">
        <v>0</v>
      </c>
      <c r="F280" s="67">
        <v>0</v>
      </c>
      <c r="G280" s="67">
        <v>0</v>
      </c>
    </row>
    <row r="281" spans="1:7" ht="12.75">
      <c r="A281" s="67">
        <v>967</v>
      </c>
      <c r="B281" s="68" t="s">
        <v>343</v>
      </c>
      <c r="C281" s="67">
        <v>1564</v>
      </c>
      <c r="D281" s="354">
        <v>93</v>
      </c>
      <c r="E281" s="69">
        <v>0</v>
      </c>
      <c r="F281" s="67">
        <v>0</v>
      </c>
      <c r="G281" s="67">
        <v>0</v>
      </c>
    </row>
    <row r="282" spans="1:7" ht="12.75">
      <c r="A282" s="67">
        <v>968</v>
      </c>
      <c r="B282" s="68" t="s">
        <v>289</v>
      </c>
      <c r="C282" s="67">
        <v>1500</v>
      </c>
      <c r="D282" s="354">
        <v>101</v>
      </c>
      <c r="E282" s="69">
        <v>0</v>
      </c>
      <c r="F282" s="67">
        <v>0</v>
      </c>
      <c r="G282" s="67">
        <v>0</v>
      </c>
    </row>
    <row r="283" spans="1:7" ht="12.75">
      <c r="A283" s="67">
        <v>969</v>
      </c>
      <c r="B283" s="68" t="s">
        <v>344</v>
      </c>
      <c r="C283" s="67">
        <v>971</v>
      </c>
      <c r="D283" s="354">
        <v>170</v>
      </c>
      <c r="E283" s="69">
        <v>150</v>
      </c>
      <c r="F283" s="67">
        <v>0</v>
      </c>
      <c r="G283" s="67">
        <v>0</v>
      </c>
    </row>
    <row r="284" spans="1:7" ht="12.75">
      <c r="A284" s="67">
        <v>970</v>
      </c>
      <c r="B284" s="68" t="s">
        <v>345</v>
      </c>
      <c r="C284" s="67">
        <v>1480</v>
      </c>
      <c r="D284" s="354">
        <v>104</v>
      </c>
      <c r="E284" s="69">
        <v>0</v>
      </c>
      <c r="F284" s="67">
        <v>0</v>
      </c>
      <c r="G284" s="67">
        <v>0</v>
      </c>
    </row>
    <row r="285" spans="1:7" ht="12.75">
      <c r="A285" s="67">
        <v>971</v>
      </c>
      <c r="B285" s="68" t="s">
        <v>346</v>
      </c>
      <c r="C285" s="67">
        <v>1400</v>
      </c>
      <c r="D285" s="354">
        <v>114</v>
      </c>
      <c r="E285" s="69">
        <v>150</v>
      </c>
      <c r="F285" s="67">
        <v>0</v>
      </c>
      <c r="G285" s="67">
        <v>0</v>
      </c>
    </row>
    <row r="286" spans="1:7" ht="12.75">
      <c r="A286" s="67">
        <v>972</v>
      </c>
      <c r="B286" s="68" t="s">
        <v>347</v>
      </c>
      <c r="C286" s="67">
        <v>1692</v>
      </c>
      <c r="D286" s="354">
        <v>76</v>
      </c>
      <c r="E286" s="69">
        <v>17</v>
      </c>
      <c r="F286" s="67">
        <v>0</v>
      </c>
      <c r="G286" s="67">
        <v>0</v>
      </c>
    </row>
    <row r="287" spans="1:7" ht="12.75">
      <c r="A287" s="67">
        <v>973</v>
      </c>
      <c r="B287" s="68" t="s">
        <v>348</v>
      </c>
      <c r="C287" s="67">
        <v>1592</v>
      </c>
      <c r="D287" s="354">
        <v>89</v>
      </c>
      <c r="E287" s="69">
        <v>17</v>
      </c>
      <c r="F287" s="67">
        <v>0</v>
      </c>
      <c r="G287" s="67">
        <v>0</v>
      </c>
    </row>
    <row r="288" spans="1:7" ht="12.75">
      <c r="A288" s="67">
        <v>974</v>
      </c>
      <c r="B288" s="68" t="s">
        <v>349</v>
      </c>
      <c r="C288" s="67">
        <v>1500</v>
      </c>
      <c r="D288" s="354">
        <v>101</v>
      </c>
      <c r="E288" s="69">
        <v>150</v>
      </c>
      <c r="F288" s="67">
        <v>0</v>
      </c>
      <c r="G288" s="67">
        <v>0</v>
      </c>
    </row>
    <row r="289" spans="1:7" ht="12.75">
      <c r="A289" s="67">
        <v>975</v>
      </c>
      <c r="B289" s="68" t="s">
        <v>350</v>
      </c>
      <c r="C289" s="67">
        <v>971</v>
      </c>
      <c r="D289" s="354">
        <v>170</v>
      </c>
      <c r="E289" s="69">
        <v>0</v>
      </c>
      <c r="F289" s="67">
        <v>0</v>
      </c>
      <c r="G289" s="67">
        <v>0</v>
      </c>
    </row>
    <row r="290" spans="1:7" ht="12.75">
      <c r="A290" s="67">
        <v>976</v>
      </c>
      <c r="B290" s="68" t="s">
        <v>351</v>
      </c>
      <c r="C290" s="67">
        <v>971</v>
      </c>
      <c r="D290" s="354">
        <v>170</v>
      </c>
      <c r="E290" s="69">
        <v>0</v>
      </c>
      <c r="F290" s="67">
        <v>0</v>
      </c>
      <c r="G290" s="67">
        <v>0</v>
      </c>
    </row>
    <row r="291" spans="1:7" ht="12.75">
      <c r="A291" s="67">
        <v>977</v>
      </c>
      <c r="B291" s="68" t="s">
        <v>352</v>
      </c>
      <c r="C291" s="67">
        <v>971</v>
      </c>
      <c r="D291" s="354">
        <v>170</v>
      </c>
      <c r="E291" s="69">
        <v>0</v>
      </c>
      <c r="F291" s="67">
        <v>0</v>
      </c>
      <c r="G291" s="67">
        <v>0</v>
      </c>
    </row>
    <row r="292" spans="1:7" ht="12.75">
      <c r="A292" s="67">
        <v>978</v>
      </c>
      <c r="B292" s="68" t="s">
        <v>353</v>
      </c>
      <c r="C292" s="67">
        <v>1840</v>
      </c>
      <c r="D292" s="354">
        <v>57</v>
      </c>
      <c r="E292" s="69">
        <v>0</v>
      </c>
      <c r="F292" s="67">
        <v>0</v>
      </c>
      <c r="G292" s="67">
        <v>0</v>
      </c>
    </row>
    <row r="293" spans="1:7" ht="12.75">
      <c r="A293" s="67">
        <v>979</v>
      </c>
      <c r="B293" s="68" t="s">
        <v>354</v>
      </c>
      <c r="C293" s="67">
        <v>1740</v>
      </c>
      <c r="D293" s="354">
        <v>70</v>
      </c>
      <c r="E293" s="69">
        <v>0</v>
      </c>
      <c r="F293" s="67">
        <v>0</v>
      </c>
      <c r="G293" s="67">
        <v>0</v>
      </c>
    </row>
    <row r="294" spans="1:7" ht="12.75">
      <c r="A294" s="67">
        <v>980</v>
      </c>
      <c r="B294" s="68" t="s">
        <v>355</v>
      </c>
      <c r="C294" s="67">
        <v>574</v>
      </c>
      <c r="D294" s="354">
        <v>222</v>
      </c>
      <c r="E294" s="69">
        <v>0</v>
      </c>
      <c r="F294" s="67">
        <v>0</v>
      </c>
      <c r="G294" s="67">
        <v>0</v>
      </c>
    </row>
    <row r="295" spans="1:7" ht="12.75">
      <c r="A295" s="67">
        <v>981</v>
      </c>
      <c r="B295" s="68" t="s">
        <v>356</v>
      </c>
      <c r="C295" s="67">
        <v>1782</v>
      </c>
      <c r="D295" s="354">
        <v>64</v>
      </c>
      <c r="E295" s="69">
        <v>0</v>
      </c>
      <c r="F295" s="67">
        <v>0</v>
      </c>
      <c r="G295" s="67">
        <v>0</v>
      </c>
    </row>
    <row r="296" spans="1:7" ht="12.75">
      <c r="A296" s="67">
        <v>982</v>
      </c>
      <c r="B296" s="68" t="s">
        <v>357</v>
      </c>
      <c r="C296" s="67">
        <v>1740</v>
      </c>
      <c r="D296" s="354">
        <v>70</v>
      </c>
      <c r="E296" s="69">
        <v>0</v>
      </c>
      <c r="F296" s="67">
        <v>0</v>
      </c>
      <c r="G296" s="67">
        <v>0</v>
      </c>
    </row>
    <row r="297" spans="1:7" ht="12.75">
      <c r="A297" s="67">
        <v>983</v>
      </c>
      <c r="B297" s="68" t="s">
        <v>358</v>
      </c>
      <c r="C297" s="67">
        <v>1170</v>
      </c>
      <c r="D297" s="354">
        <v>144</v>
      </c>
      <c r="E297" s="69">
        <v>0</v>
      </c>
      <c r="F297" s="67">
        <v>0</v>
      </c>
      <c r="G297" s="67">
        <v>0</v>
      </c>
    </row>
    <row r="298" spans="1:7" ht="12.75">
      <c r="A298" s="67">
        <v>984</v>
      </c>
      <c r="B298" s="68" t="s">
        <v>359</v>
      </c>
      <c r="C298" s="67">
        <v>690</v>
      </c>
      <c r="D298" s="354">
        <v>207</v>
      </c>
      <c r="E298" s="69">
        <v>0</v>
      </c>
      <c r="F298" s="67">
        <v>0</v>
      </c>
      <c r="G298" s="67">
        <v>0</v>
      </c>
    </row>
    <row r="299" spans="1:7" ht="12.75">
      <c r="A299" s="67">
        <v>985</v>
      </c>
      <c r="B299" s="68" t="s">
        <v>360</v>
      </c>
      <c r="C299" s="67">
        <v>2913</v>
      </c>
      <c r="D299" s="354">
        <v>0</v>
      </c>
      <c r="E299" s="69">
        <v>0</v>
      </c>
      <c r="F299" s="67">
        <v>0</v>
      </c>
      <c r="G299" s="67">
        <v>0</v>
      </c>
    </row>
    <row r="300" spans="1:7" ht="12.75">
      <c r="A300" s="67">
        <v>986</v>
      </c>
      <c r="B300" s="68" t="s">
        <v>361</v>
      </c>
      <c r="C300" s="67">
        <v>644</v>
      </c>
      <c r="D300" s="354">
        <v>213</v>
      </c>
      <c r="E300" s="69">
        <v>0</v>
      </c>
      <c r="F300" s="67">
        <v>0</v>
      </c>
      <c r="G300" s="67">
        <v>0</v>
      </c>
    </row>
    <row r="301" spans="1:7" ht="12.75">
      <c r="A301" s="67">
        <v>987</v>
      </c>
      <c r="B301" s="68" t="s">
        <v>203</v>
      </c>
      <c r="C301" s="67">
        <v>1170</v>
      </c>
      <c r="D301" s="354">
        <v>144</v>
      </c>
      <c r="E301" s="69">
        <v>0</v>
      </c>
      <c r="F301" s="67">
        <v>0</v>
      </c>
      <c r="G301" s="67">
        <v>0</v>
      </c>
    </row>
    <row r="302" spans="1:7" ht="12.75">
      <c r="A302" s="67">
        <v>988</v>
      </c>
      <c r="B302" s="68" t="s">
        <v>362</v>
      </c>
      <c r="C302" s="67">
        <v>2600</v>
      </c>
      <c r="D302" s="354">
        <v>0</v>
      </c>
      <c r="E302" s="69">
        <v>0</v>
      </c>
      <c r="F302" s="67">
        <v>0</v>
      </c>
      <c r="G302" s="67">
        <v>0</v>
      </c>
    </row>
    <row r="303" spans="1:7" ht="12.75">
      <c r="A303" s="67">
        <v>989</v>
      </c>
      <c r="B303" s="68" t="s">
        <v>363</v>
      </c>
      <c r="C303" s="67">
        <v>2840</v>
      </c>
      <c r="D303" s="354">
        <v>0</v>
      </c>
      <c r="E303" s="69">
        <v>0</v>
      </c>
      <c r="F303" s="67">
        <v>0</v>
      </c>
      <c r="G303" s="67">
        <v>0</v>
      </c>
    </row>
    <row r="304" spans="1:7" ht="12.75">
      <c r="A304" s="67">
        <v>990</v>
      </c>
      <c r="B304" s="68" t="s">
        <v>364</v>
      </c>
      <c r="C304" s="67">
        <v>2100</v>
      </c>
      <c r="D304" s="354">
        <v>23</v>
      </c>
      <c r="E304" s="69">
        <v>0</v>
      </c>
      <c r="F304" s="67">
        <v>0</v>
      </c>
      <c r="G304" s="67">
        <v>0</v>
      </c>
    </row>
    <row r="305" spans="1:7" ht="12.75">
      <c r="A305" s="67">
        <v>991</v>
      </c>
      <c r="B305" s="68" t="s">
        <v>365</v>
      </c>
      <c r="C305" s="67">
        <v>1850</v>
      </c>
      <c r="D305" s="354">
        <v>55</v>
      </c>
      <c r="E305" s="69">
        <v>0</v>
      </c>
      <c r="F305" s="67">
        <v>0</v>
      </c>
      <c r="G305" s="67">
        <v>0</v>
      </c>
    </row>
    <row r="306" spans="1:7" ht="12.75">
      <c r="A306" s="67">
        <v>992</v>
      </c>
      <c r="B306" s="68" t="s">
        <v>366</v>
      </c>
      <c r="C306" s="67">
        <v>2840</v>
      </c>
      <c r="D306" s="354">
        <v>0</v>
      </c>
      <c r="E306" s="69">
        <v>0</v>
      </c>
      <c r="F306" s="67">
        <v>0</v>
      </c>
      <c r="G306" s="67">
        <v>0</v>
      </c>
    </row>
    <row r="307" spans="1:7" ht="12.75">
      <c r="A307" s="67">
        <v>993</v>
      </c>
      <c r="B307" s="68" t="s">
        <v>367</v>
      </c>
      <c r="C307" s="67">
        <v>2913</v>
      </c>
      <c r="D307" s="354">
        <v>0</v>
      </c>
      <c r="E307" s="69">
        <v>0</v>
      </c>
      <c r="F307" s="67">
        <v>0</v>
      </c>
      <c r="G307" s="67">
        <v>0</v>
      </c>
    </row>
    <row r="308" spans="1:7" ht="12.75">
      <c r="A308" s="67">
        <v>994</v>
      </c>
      <c r="B308" s="68" t="s">
        <v>368</v>
      </c>
      <c r="C308" s="67">
        <v>1580</v>
      </c>
      <c r="D308" s="354">
        <v>90</v>
      </c>
      <c r="E308" s="69">
        <v>0</v>
      </c>
      <c r="F308" s="67">
        <v>0</v>
      </c>
      <c r="G308" s="67">
        <v>0</v>
      </c>
    </row>
    <row r="309" spans="1:7" ht="12.75">
      <c r="A309" s="67">
        <v>995</v>
      </c>
      <c r="B309" s="68" t="s">
        <v>369</v>
      </c>
      <c r="C309" s="67">
        <v>1564</v>
      </c>
      <c r="D309" s="354">
        <v>93</v>
      </c>
      <c r="E309" s="69">
        <v>0</v>
      </c>
      <c r="F309" s="67">
        <v>0</v>
      </c>
      <c r="G309" s="67">
        <v>0</v>
      </c>
    </row>
    <row r="310" spans="1:7" ht="12.75">
      <c r="A310" s="67">
        <v>996</v>
      </c>
      <c r="B310" s="68" t="s">
        <v>106</v>
      </c>
      <c r="C310" s="67">
        <v>1480</v>
      </c>
      <c r="D310" s="354">
        <v>104</v>
      </c>
      <c r="E310" s="69">
        <v>0</v>
      </c>
      <c r="F310" s="67">
        <v>0</v>
      </c>
      <c r="G310" s="67">
        <v>0</v>
      </c>
    </row>
    <row r="311" spans="1:7" ht="12.75">
      <c r="A311" s="67">
        <v>997</v>
      </c>
      <c r="B311" s="68" t="s">
        <v>370</v>
      </c>
      <c r="C311" s="67">
        <v>1564</v>
      </c>
      <c r="D311" s="354">
        <v>93</v>
      </c>
      <c r="E311" s="69">
        <v>0</v>
      </c>
      <c r="F311" s="67">
        <v>0</v>
      </c>
      <c r="G311" s="67">
        <v>0</v>
      </c>
    </row>
    <row r="312" spans="1:7" ht="12.75">
      <c r="A312" s="67">
        <v>998</v>
      </c>
      <c r="B312" s="68" t="s">
        <v>371</v>
      </c>
      <c r="C312" s="67">
        <v>2220</v>
      </c>
      <c r="D312" s="354">
        <v>7</v>
      </c>
      <c r="E312" s="69">
        <v>0</v>
      </c>
      <c r="F312" s="67">
        <v>0</v>
      </c>
      <c r="G312" s="67">
        <v>0</v>
      </c>
    </row>
    <row r="313" spans="1:7" ht="12.75">
      <c r="A313" s="67">
        <v>999</v>
      </c>
      <c r="B313" s="68" t="s">
        <v>372</v>
      </c>
      <c r="C313" s="67">
        <v>3146</v>
      </c>
      <c r="D313" s="354">
        <v>0</v>
      </c>
      <c r="E313" s="69">
        <v>0</v>
      </c>
      <c r="F313" s="67">
        <v>0</v>
      </c>
      <c r="G313" s="67">
        <v>0</v>
      </c>
    </row>
    <row r="314" spans="1:7" ht="13.5" thickBot="1">
      <c r="A314" s="67">
        <v>666</v>
      </c>
      <c r="B314" s="68" t="s">
        <v>373</v>
      </c>
      <c r="C314" s="67" t="s">
        <v>374</v>
      </c>
      <c r="D314" s="354">
        <v>0</v>
      </c>
      <c r="E314" s="80">
        <v>0</v>
      </c>
      <c r="F314" s="81">
        <v>0</v>
      </c>
      <c r="G314" s="81">
        <v>0</v>
      </c>
    </row>
  </sheetData>
  <sheetProtection password="C9B5" sheet="1" objects="1" scenarios="1"/>
  <hyperlinks>
    <hyperlink ref="B1" location="'recibo de sueldo'!A1" display="Volver al simulador"/>
  </hyperlink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AGMER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Hugo Hutt</dc:creator>
  <cp:keywords/>
  <dc:description/>
  <cp:lastModifiedBy>victor</cp:lastModifiedBy>
  <cp:lastPrinted>2006-02-19T15:20:42Z</cp:lastPrinted>
  <dcterms:created xsi:type="dcterms:W3CDTF">2005-08-01T16:16:18Z</dcterms:created>
  <dcterms:modified xsi:type="dcterms:W3CDTF">2008-09-22T03:43:12Z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