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655" windowHeight="6600" tabRatio="593" activeTab="0"/>
  </bookViews>
  <sheets>
    <sheet name="Haberes jubilados" sheetId="1" r:id="rId1"/>
    <sheet name="para varios cargos" sheetId="2" r:id="rId2"/>
    <sheet name="Cargos" sheetId="3" r:id="rId3"/>
  </sheets>
  <externalReferences>
    <externalReference r:id="rId6"/>
  </externalReferences>
  <definedNames>
    <definedName name="aum06jul10">'Haberes jubilados'!$J$62</definedName>
    <definedName name="aum06mar10">'Haberes jubilados'!$J$60</definedName>
    <definedName name="cargosascenso">'Haberes jubilados'!#REF!</definedName>
    <definedName name="cargosingreso">'Haberes jubilados'!$C$145</definedName>
    <definedName name="cargosproljor">'Haberes jubilados'!#REF!</definedName>
    <definedName name="cod022feb07">'Haberes jubilados'!#REF!</definedName>
    <definedName name="cod06ago07">'Haberes jubilados'!#REF!</definedName>
    <definedName name="cod06ago08">'Haberes jubilados'!#REF!</definedName>
    <definedName name="cod06cargo120">'Haberes jubilados'!#REF!</definedName>
    <definedName name="cod06cargos">'Haberes jubilados'!#REF!</definedName>
    <definedName name="cod06cargosago08">'Haberes jubilados'!#REF!</definedName>
    <definedName name="cod06cargosdic08">'Haberes jubilados'!$C$74:$C$85</definedName>
    <definedName name="cod06cargosfeb09">'Haberes jubilados'!$C$89:$C$100</definedName>
    <definedName name="cod06cargosjul10">'Haberes jubilados'!$C$120:$C$131</definedName>
    <definedName name="cod06cargosmar10">'Haberes jubilados'!$C$104:$C$115</definedName>
    <definedName name="cod06cargosoct08">'Haberes jubilados'!#REF!</definedName>
    <definedName name="cod06cargosvar1">'para varios cargos'!$F$12:$F$23</definedName>
    <definedName name="cod06cargosvar1jul10">'para varios cargos'!$F$43:$F$54</definedName>
    <definedName name="cod06cargosvar1mar10">'para varios cargos'!$F$28:$F$39</definedName>
    <definedName name="cod06cargosvar2">'para varios cargos'!$F$103:$F$114</definedName>
    <definedName name="cod06cargosvar2jul10">'para varios cargos'!$F$136:$F$147</definedName>
    <definedName name="cod06cargosvar2mar10">'para varios cargos'!$F$119:$F$130</definedName>
    <definedName name="cod06cargosvar3">'para varios cargos'!$F$197:$F$208</definedName>
    <definedName name="cod06cargosvar3jul10">'para varios cargos'!$F$229:$F$240</definedName>
    <definedName name="cod06cargosvar3mar10">'para varios cargos'!$F$213:$F$224</definedName>
    <definedName name="cod06cargosvar4">'para varios cargos'!$F$290:$F$301</definedName>
    <definedName name="cod06cargosvar4jul10">'para varios cargos'!$F$323:$F$334</definedName>
    <definedName name="cod06cargosvar4mar10">'para varios cargos'!$F$306:$F$317</definedName>
    <definedName name="cod06dic08">'Haberes jubilados'!$F$56</definedName>
    <definedName name="cod06feb07">'Haberes jubilados'!#REF!</definedName>
    <definedName name="cod06feb07varios1">'para varios cargos'!#REF!</definedName>
    <definedName name="cod06feb07varios2">'para varios cargos'!#REF!</definedName>
    <definedName name="cod06feb07varios3">'para varios cargos'!#REF!</definedName>
    <definedName name="cod06feb07varios4">'para varios cargos'!#REF!</definedName>
    <definedName name="cod06feb09">'Haberes jubilados'!$I$56</definedName>
    <definedName name="cod06horas">'Haberes jubilados'!#REF!</definedName>
    <definedName name="cod06jul10">'Haberes jubilados'!$K$58</definedName>
    <definedName name="cod06jul10varios1">'para varios cargos'!$G$56</definedName>
    <definedName name="cod06jul10varios2">'para varios cargos'!$G$149</definedName>
    <definedName name="cod06jul10varios3">'para varios cargos'!$G$242</definedName>
    <definedName name="cod06jul10varios4">'para varios cargos'!$G$336</definedName>
    <definedName name="cod06mar09varios1">'para varios cargos'!$G$25</definedName>
    <definedName name="cod06mar09varios2">'para varios cargos'!$G$116</definedName>
    <definedName name="cod06mar09varios3">'para varios cargos'!$G$210</definedName>
    <definedName name="cod06mar09varios4">'para varios cargos'!$G$303</definedName>
    <definedName name="cod06mar10">'Haberes jubilados'!$K$56</definedName>
    <definedName name="cod06mar10varios1">'para varios cargos'!$G$40</definedName>
    <definedName name="cod06mar10varios2">'para varios cargos'!$G$132</definedName>
    <definedName name="cod06mar10varios3">'para varios cargos'!$G$226</definedName>
    <definedName name="cod06mar10varios4">'para varios cargos'!$G$319</definedName>
    <definedName name="cod06med">'[1]Prop 24 feb 06'!$D$71</definedName>
    <definedName name="cod06medago07">'Haberes jubilados'!$D$61</definedName>
    <definedName name="cod06medfeb07">'Haberes jubilados'!$B$61</definedName>
    <definedName name="cod06medsep07">'Haberes jubilados'!$F$61</definedName>
    <definedName name="cod06oct08">'Haberes jubilados'!$F$56</definedName>
    <definedName name="cod06sep07">'Haberes jubilados'!#REF!</definedName>
    <definedName name="cod06sup">'[1]Prop 24 feb 06'!$D$77</definedName>
    <definedName name="cod06supago07">'Haberes jubilados'!$D$67</definedName>
    <definedName name="cod06supfeb07">'Haberes jubilados'!$B$67</definedName>
    <definedName name="cod06supsep07">'Haberes jubilados'!$F$67</definedName>
    <definedName name="cod17feb07">'Haberes jubilados'!#REF!</definedName>
    <definedName name="cod17medfeb07">'Haberes jubilados'!$B$62</definedName>
    <definedName name="cod17supfeb07">'Haberes jubilados'!$B$68</definedName>
    <definedName name="cod22medfeb07">'Haberes jubilados'!$B$60</definedName>
    <definedName name="cod22supfeb07">'Haberes jubilados'!$B$66</definedName>
    <definedName name="cod38feb07">'Haberes jubilados'!#REF!</definedName>
    <definedName name="cod38med">'Haberes jubilados'!#REF!</definedName>
    <definedName name="cod38medfeb07">'Haberes jubilados'!$B$59</definedName>
    <definedName name="cod38sup">'Haberes jubilados'!#REF!</definedName>
    <definedName name="cod38supfeb07">'Haberes jubilados'!$B$65</definedName>
    <definedName name="compbasico">'Haberes jubilados'!$F$148</definedName>
    <definedName name="compbasicovarios1">'para varios cargos'!$I$64</definedName>
    <definedName name="compbasicovarios2">'para varios cargos'!$I$156</definedName>
    <definedName name="compbasicovarios3">'para varios cargos'!$I$250</definedName>
    <definedName name="compbasicovarios4">'para varios cargos'!$I$344</definedName>
    <definedName name="cuartocargo">'para varios cargos'!$E$341</definedName>
    <definedName name="frac">'Haberes jubilados'!$F$151</definedName>
    <definedName name="frac1">'para varios cargos'!$I$67</definedName>
    <definedName name="frac2">'para varios cargos'!$I$159</definedName>
    <definedName name="frac3">'para varios cargos'!$I$253</definedName>
    <definedName name="frac4">'para varios cargos'!$I$347</definedName>
    <definedName name="horasmedia">'Haberes jubilados'!$B$186</definedName>
    <definedName name="horassuperior">'Haberes jubilados'!$B$215</definedName>
    <definedName name="indiceago07">'Haberes jubilados'!#REF!</definedName>
    <definedName name="indiceago08">'Haberes jubilados'!#REF!</definedName>
    <definedName name="indicedic08">'Haberes jubilados'!#REF!</definedName>
    <definedName name="indicefeb07">'Haberes jubilados'!#REF!</definedName>
    <definedName name="indicefeb09">'Haberes jubilados'!$E$50</definedName>
    <definedName name="indicejul08">'Haberes jubilados'!#REF!</definedName>
    <definedName name="indicejul2010">'Haberes jubilados'!$K$50</definedName>
    <definedName name="indicemar08">'Haberes jubilados'!#REF!</definedName>
    <definedName name="indicemar2010">'Haberes jubilados'!$H$50</definedName>
    <definedName name="indiceoct08">'Haberes jubilados'!$B$50</definedName>
    <definedName name="indiceproljor">'Haberes jubilados'!#REF!</definedName>
    <definedName name="indicesep07">'Haberes jubilados'!#REF!</definedName>
    <definedName name="indicesept07">'Haberes jubilados'!#REF!</definedName>
    <definedName name="instructivo">'Haberes jubilados'!$A$15</definedName>
    <definedName name="jorcomcargo">'Cargos'!$G$3:$G$314</definedName>
    <definedName name="nombrecargo">'Cargos'!$B$3:$B$314</definedName>
    <definedName name="nuevocod038">'Haberes jubilados'!#REF!</definedName>
    <definedName name="nuevocod06cargo">'Haberes jubilados'!#REF!</definedName>
    <definedName name="nuevocod06cargovarios">'para varios cargos'!#REF!</definedName>
    <definedName name="nuevocod06horas">'Haberes jubilados'!#REF!</definedName>
    <definedName name="nuevocod06med">'[1]Prop 24 feb 06'!$G$71</definedName>
    <definedName name="nuevocod06sup">'[1]Prop 24 feb 06'!$G$77</definedName>
    <definedName name="nuevocod38">'[1]Prop 24 feb 06'!$G$61</definedName>
    <definedName name="nuevocod38med">'Haberes jubilados'!#REF!</definedName>
    <definedName name="nuevocod38sup">'Haberes jubilados'!#REF!</definedName>
    <definedName name="nuevoindproljor">'Haberes jubilados'!#REF!</definedName>
    <definedName name="nuevoproljornada">'[1]Prop 24 feb 06'!$G$63</definedName>
    <definedName name="nuevopuntoindice">'Haberes jubilados'!#REF!</definedName>
    <definedName name="nuevopuntoíndice">'[1]Prop 24 feb 06'!$G$57</definedName>
    <definedName name="numerocargo">'Cargos'!$A$3:$A$314</definedName>
    <definedName name="numhorasmed">'Haberes jubilados'!$D$188</definedName>
    <definedName name="numhorassup">'Haberes jubilados'!$D$217</definedName>
    <definedName name="porant">'Haberes jubilados'!$B$74:$B$85</definedName>
    <definedName name="porantvar1">'para varios cargos'!$E$12:$E$23</definedName>
    <definedName name="porantvar2">'para varios cargos'!$E$103:$E$114</definedName>
    <definedName name="porantvar3">'para varios cargos'!$E$197:$E$208</definedName>
    <definedName name="porantvar4">'para varios cargos'!$E$290:$E$301</definedName>
    <definedName name="porcantigcargo">'Haberes jubilados'!$D$156</definedName>
    <definedName name="porcantighorasmed">'Haberes jubilados'!$D$189</definedName>
    <definedName name="porcantigsup">'Haberes jubilados'!$D$218</definedName>
    <definedName name="porczona">'Haberes jubilados'!$C$153</definedName>
    <definedName name="porjubcar">'Haberes jubilados'!$F$153</definedName>
    <definedName name="porjubhormed">'Haberes jubilados'!$D$190</definedName>
    <definedName name="porjubhorsup">'Haberes jubilados'!$D$219</definedName>
    <definedName name="porjubvarcar">'para varios cargos'!$F$6</definedName>
    <definedName name="primercargo">'para varios cargos'!$E$61</definedName>
    <definedName name="proljorago07">'Haberes jubilados'!#REF!</definedName>
    <definedName name="proljorago08">'Haberes jubilados'!#REF!</definedName>
    <definedName name="proljorcargo">'Cargos'!$F$3:$F$314</definedName>
    <definedName name="proljordic08">'Haberes jubilados'!#REF!</definedName>
    <definedName name="proljorfeb07">'Haberes jubilados'!#REF!</definedName>
    <definedName name="proljorfeb09">'Haberes jubilados'!$E$54</definedName>
    <definedName name="proljorjul08">'Haberes jubilados'!#REF!</definedName>
    <definedName name="proljorjul2010">'Haberes jubilados'!$K$53</definedName>
    <definedName name="proljormar08">'Haberes jubilados'!#REF!</definedName>
    <definedName name="proljormar2010">'Haberes jubilados'!$H$53</definedName>
    <definedName name="proljoroct08">'Haberes jubilados'!$B$54</definedName>
    <definedName name="proljorsep07">'Haberes jubilados'!#REF!</definedName>
    <definedName name="punbasjub">'Haberes jubilados'!$D$158</definedName>
    <definedName name="punbasjubvarios1">'para varios cargos'!$F$74</definedName>
    <definedName name="punbasjubvarios2">'para varios cargos'!$F$166</definedName>
    <definedName name="punbasjubvarios3">'para varios cargos'!$F$260</definedName>
    <definedName name="punbasjubvarios4">'para varios cargos'!$F$354</definedName>
    <definedName name="punproljor">'Haberes jubilados'!$G$188</definedName>
    <definedName name="puntardifvar1">'para varios cargos'!$F$64</definedName>
    <definedName name="puntardifvar2">'para varios cargos'!$F$156</definedName>
    <definedName name="puntardifvar3">'para varios cargos'!$F$250</definedName>
    <definedName name="puntardifvar4">'para varios cargos'!$F$344</definedName>
    <definedName name="punto_índice">'[1]Prop 24 feb 06'!$D$57</definedName>
    <definedName name="puntoindice">'Haberes jubilados'!#REF!</definedName>
    <definedName name="PUNTOSbasicos">'Haberes jubilados'!$B$148</definedName>
    <definedName name="puntosbasicoscargo">'Cargos'!$C$3:$C$314</definedName>
    <definedName name="puntoscompbasico">'Cargos'!$D$3:$D$313</definedName>
    <definedName name="puntosproljor">'Haberes jubilados'!$G$158</definedName>
    <definedName name="puntosproljorvarios1">'para varios cargos'!$I$74</definedName>
    <definedName name="puntosproljorvarios2">'para varios cargos'!$I$166</definedName>
    <definedName name="puntosproljorvarios3">'para varios cargos'!$I$260</definedName>
    <definedName name="puntosproljorvarios4">'para varios cargos'!$I$354</definedName>
    <definedName name="puntostotalhorassup">'Haberes jubilados'!$D$221</definedName>
    <definedName name="puntotalhorasmed">'Haberes jubilados'!$D$192</definedName>
    <definedName name="recibofinal">'para varios cargos'!$G$380</definedName>
    <definedName name="salminimofeb07">'Haberes jubilados'!#REF!</definedName>
    <definedName name="salminjorcom">'Haberes jubilados'!$A$65</definedName>
    <definedName name="segundocargo">'para varios cargos'!$E$153</definedName>
    <definedName name="tardifcargo">'Cargos'!$E$3:$E$314</definedName>
    <definedName name="tercercargo">'para varios cargos'!$E$247</definedName>
    <definedName name="valor_cod_038">'[1]Prop 24 feb 06'!$D$61</definedName>
    <definedName name="valor_prol_jor">'[1]Prop 24 feb 06'!$D$63</definedName>
    <definedName name="valorcod038">'Haberes jubilados'!#REF!</definedName>
  </definedNames>
  <calcPr fullCalcOnLoad="1"/>
</workbook>
</file>

<file path=xl/comments1.xml><?xml version="1.0" encoding="utf-8"?>
<comments xmlns="http://schemas.openxmlformats.org/spreadsheetml/2006/main">
  <authors>
    <author>V?ctor</author>
  </authors>
  <commentList>
    <comment ref="A14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C15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E151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D156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</commentList>
</comments>
</file>

<file path=xl/comments2.xml><?xml version="1.0" encoding="utf-8"?>
<comments xmlns="http://schemas.openxmlformats.org/spreadsheetml/2006/main">
  <authors>
    <author>V?ctor</author>
  </authors>
  <commentList>
    <comment ref="D6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6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69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72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si el docente se jubiló con menos de 24 años de servicio será menor.</t>
        </r>
      </text>
    </comment>
    <comment ref="D156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159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161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16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si el docente se jubiló con menos de 24 años de servicio será menor.</t>
        </r>
      </text>
    </comment>
    <comment ref="D250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25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255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25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si el docente se jubiló con menos de 24 años de servicio será menor.</t>
        </r>
      </text>
    </comment>
    <comment ref="D34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34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349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352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si el docente se jubiló con menos de 24 años de servicio será menor.</t>
        </r>
      </text>
    </comment>
  </commentList>
</comments>
</file>

<file path=xl/sharedStrings.xml><?xml version="1.0" encoding="utf-8"?>
<sst xmlns="http://schemas.openxmlformats.org/spreadsheetml/2006/main" count="1127" uniqueCount="465">
  <si>
    <t>MENU</t>
  </si>
  <si>
    <t>instructivo</t>
  </si>
  <si>
    <t>horas nivel medio</t>
  </si>
  <si>
    <t>horas nivel superior</t>
  </si>
  <si>
    <t>Instructivo</t>
  </si>
  <si>
    <t>Leer</t>
  </si>
  <si>
    <r>
      <t xml:space="preserve">Se deben completar los datos en </t>
    </r>
    <r>
      <rPr>
        <b/>
        <sz val="11"/>
        <color indexed="10"/>
        <rFont val="Arial"/>
        <family val="2"/>
      </rPr>
      <t>rojo</t>
    </r>
    <r>
      <rPr>
        <sz val="11"/>
        <rFont val="Arial"/>
        <family val="2"/>
      </rPr>
      <t xml:space="preserve"> y es posible que los </t>
    </r>
    <r>
      <rPr>
        <b/>
        <sz val="11"/>
        <color indexed="53"/>
        <rFont val="Arial"/>
        <family val="2"/>
      </rPr>
      <t>naranjas,</t>
    </r>
    <r>
      <rPr>
        <sz val="11"/>
        <rFont val="Arial"/>
        <family val="2"/>
      </rPr>
      <t xml:space="preserve"> lo demás se calcula todo solo.</t>
    </r>
  </si>
  <si>
    <r>
      <t xml:space="preserve">No tocar los demás valores porque se descontrola, en ese caso </t>
    </r>
    <r>
      <rPr>
        <b/>
        <sz val="11"/>
        <rFont val="Arial"/>
        <family val="2"/>
      </rPr>
      <t>deshacer cambios</t>
    </r>
    <r>
      <rPr>
        <sz val="11"/>
        <rFont val="Arial"/>
        <family val="2"/>
      </rPr>
      <t>.</t>
    </r>
  </si>
  <si>
    <t>Si desean imprimir una situación, realicen el siguiente procedimiento: seleccionar con el mouse el área donde</t>
  </si>
  <si>
    <t xml:space="preserve">aparece el recibo que se desea imprimir, y con eso seleccionado, ir a archivo, imprimir y elegir la opción </t>
  </si>
  <si>
    <t>selección, de lo contrario les va a imprimir toda la planilla, incluyendo comentarios, etc.</t>
  </si>
  <si>
    <t>Víctor Hugo Hutt</t>
  </si>
  <si>
    <t>AGMER Seccional Uruguay</t>
  </si>
  <si>
    <r>
      <t xml:space="preserve">Sueldo básico de la categ. </t>
    </r>
    <r>
      <rPr>
        <b/>
        <sz val="10"/>
        <rFont val="Arial"/>
        <family val="2"/>
      </rPr>
      <t>(del activo)</t>
    </r>
  </si>
  <si>
    <t>Porcentaje de Antigüedad</t>
  </si>
  <si>
    <t>(No poner el símbolo %)</t>
  </si>
  <si>
    <t>Puntos básicos</t>
  </si>
  <si>
    <t>Se calcula solo</t>
  </si>
  <si>
    <t>Sueldo básico</t>
  </si>
  <si>
    <t>Antigüedad</t>
  </si>
  <si>
    <t>Haberes</t>
  </si>
  <si>
    <t>Federació de  jubil</t>
  </si>
  <si>
    <t>Aporte IOSPER</t>
  </si>
  <si>
    <t>Seguro ley 3011</t>
  </si>
  <si>
    <t>Reajuste cod 709</t>
  </si>
  <si>
    <t>Serv Sepelio IAPS</t>
  </si>
  <si>
    <t>Otros descuentos</t>
  </si>
  <si>
    <t>Descuentos</t>
  </si>
  <si>
    <t>Líquido</t>
  </si>
  <si>
    <t>Jubilado - HORAS DE NIVEL MEDIO</t>
  </si>
  <si>
    <t>Número de horas</t>
  </si>
  <si>
    <t>Jubilado - HORAS DE NIVEL Superior</t>
  </si>
  <si>
    <t>(no llenar, se calcula solo)</t>
  </si>
  <si>
    <t>INDICE</t>
  </si>
  <si>
    <t>Tarea</t>
  </si>
  <si>
    <t>Prol</t>
  </si>
  <si>
    <t>Jornada</t>
  </si>
  <si>
    <t>CARGO</t>
  </si>
  <si>
    <t>NOMBRE</t>
  </si>
  <si>
    <t>PUNTOS</t>
  </si>
  <si>
    <t>DIFER.</t>
  </si>
  <si>
    <t>JORN</t>
  </si>
  <si>
    <t>Compl</t>
  </si>
  <si>
    <t>JEFE DE PRECEPTORES DE 2DA Y 3RA CATEGORIA</t>
  </si>
  <si>
    <t xml:space="preserve"> RESP. AREA ASISTEMATICA Y SISTEMATICA</t>
  </si>
  <si>
    <t xml:space="preserve"> ASESOR PEDAGOGICO</t>
  </si>
  <si>
    <t xml:space="preserve"> SUPERVISOR D.E.M.Y.A.</t>
  </si>
  <si>
    <t xml:space="preserve"> SECRETARIO DOCENTE D.E.M.Y.A.</t>
  </si>
  <si>
    <t xml:space="preserve"> TECNICO PEDAGOGICO</t>
  </si>
  <si>
    <t xml:space="preserve"> DIRECTOR 1ERA CATEGORIA</t>
  </si>
  <si>
    <t xml:space="preserve"> DIRECTOR 2DA CATEGORIA</t>
  </si>
  <si>
    <t xml:space="preserve"> REGENTE ESC. TECNICA 1ERA CATEGORIA</t>
  </si>
  <si>
    <t xml:space="preserve"> DIRECTOR 3ERA CATEGORIA</t>
  </si>
  <si>
    <t xml:space="preserve"> VICEDIRECTOR 1ERA CATEGORIA</t>
  </si>
  <si>
    <t xml:space="preserve"> VICEDIRECTOR 2DA CATEGORIA</t>
  </si>
  <si>
    <t xml:space="preserve"> JEFE AGROPECUARIO 1ERA CATEGORIA</t>
  </si>
  <si>
    <t xml:space="preserve"> JEFE AGROPECUARIO 2DA CATEGORIA</t>
  </si>
  <si>
    <t xml:space="preserve"> JEFE AGROPECUARIO 3ERA CATEGORIA</t>
  </si>
  <si>
    <t xml:space="preserve"> JEFE SECCION ESC. AGROPECUARIA</t>
  </si>
  <si>
    <t xml:space="preserve"> REGENTE ESC. TECNICA 2DA CATEGORIA</t>
  </si>
  <si>
    <t xml:space="preserve"> MAESTRO ENS PRACT - JEFE SECCION</t>
  </si>
  <si>
    <t xml:space="preserve"> MAESTRO ENS PRACT - 1RA 2DA 3RA</t>
  </si>
  <si>
    <t xml:space="preserve"> JEFE INTERNADO 1ERA CATEGORIA</t>
  </si>
  <si>
    <t xml:space="preserve"> JEFE INTERNADO 3ERA CATEGORIA</t>
  </si>
  <si>
    <t xml:space="preserve"> SECRETARIO 1ERA CATEGORIA</t>
  </si>
  <si>
    <t xml:space="preserve"> SECRETARIO 2DA CATEGORIA</t>
  </si>
  <si>
    <t xml:space="preserve"> SECRETARIO 3ERA CATEGORIA</t>
  </si>
  <si>
    <t xml:space="preserve"> MAESTRO TECNOLOGICO Y ESPECIALIDADES</t>
  </si>
  <si>
    <t xml:space="preserve"> MAESTRO AYUD ENS PRACT 1RA 2DA 3RA</t>
  </si>
  <si>
    <t xml:space="preserve"> PRECEPTOR AYUDANTE INTERNADO 1ERA CATEGORIA</t>
  </si>
  <si>
    <t xml:space="preserve"> PRECEPTOR AYUDANTE INTERNADO 3ERA CATEGORIA</t>
  </si>
  <si>
    <t xml:space="preserve"> PRECEPTOR</t>
  </si>
  <si>
    <t xml:space="preserve"> BIBLIOTECARIO</t>
  </si>
  <si>
    <t xml:space="preserve"> MAESTRO DE GRADO</t>
  </si>
  <si>
    <t xml:space="preserve"> JEFE DE LABORATORIO</t>
  </si>
  <si>
    <t xml:space="preserve"> JEFE DE ENS PRACTICA</t>
  </si>
  <si>
    <t xml:space="preserve"> AYTE TEC DE TRAB PRACT/LABORATORIO</t>
  </si>
  <si>
    <t xml:space="preserve"> SUBJEFE DE PRECEPT 1RA CAT</t>
  </si>
  <si>
    <t xml:space="preserve"> RECTOR PROYECTO 13</t>
  </si>
  <si>
    <t xml:space="preserve"> JEFE INTERNADO 2DA CATEGORIA</t>
  </si>
  <si>
    <t xml:space="preserve"> PRECEPTOR AYUDANTE DE INTERNADO 2DA CATEGORIA</t>
  </si>
  <si>
    <t xml:space="preserve"> VICEDIRECTOR 3ERA CATEGORIA</t>
  </si>
  <si>
    <t xml:space="preserve"> VICERECTOR PROYECTO 13</t>
  </si>
  <si>
    <t xml:space="preserve"> ASESOR PEDAG PROYECTO 13</t>
  </si>
  <si>
    <t xml:space="preserve"> AYUDANTE CLASES PRACTICAS (14 Hs)</t>
  </si>
  <si>
    <t xml:space="preserve"> INSTRUCTOR COMPLEJO AGRARIO</t>
  </si>
  <si>
    <t xml:space="preserve"> DIRECTOR DE 1° C.E.F.</t>
  </si>
  <si>
    <t xml:space="preserve"> MAESTRO DE CICLO E.G.B.</t>
  </si>
  <si>
    <t xml:space="preserve"> COORDINADOR DE ACCIONES NO FORMALES</t>
  </si>
  <si>
    <t xml:space="preserve"> AUXILIAR DE ACCIONES NO FORMALES</t>
  </si>
  <si>
    <t xml:space="preserve"> INSTRUCTOR ESC. AGROPECUARIAS</t>
  </si>
  <si>
    <t xml:space="preserve"> JEFE TALLER ESC. TECNICA 3ERA CATEGORIA</t>
  </si>
  <si>
    <t xml:space="preserve"> JEFE TALLER ESC. TECNICA 1ERA CATEGORIA</t>
  </si>
  <si>
    <t xml:space="preserve"> JEFE TALLER ESC. TECNICA 2DA CATEGORIA</t>
  </si>
  <si>
    <t xml:space="preserve"> PROSECRETARIO 1ERA CAT.</t>
  </si>
  <si>
    <t xml:space="preserve"> PROSECRETARIO 2DA Y 3ERA CAT.</t>
  </si>
  <si>
    <t xml:space="preserve"> JEFE DE PRECEPTORES 1ERA CAT.</t>
  </si>
  <si>
    <t xml:space="preserve"> JEFE DE PRECEPTORES 2DA Y 3ERA CAT.</t>
  </si>
  <si>
    <t xml:space="preserve"> SUBJEFE DE PRECEPTORES 1ERA CAT.</t>
  </si>
  <si>
    <t xml:space="preserve"> JEFE DE PRECEPTORES J. C. AGRARIA</t>
  </si>
  <si>
    <t xml:space="preserve"> JEFE GRAL. DE ENSENANZA PRACTICA 3RA CAT.</t>
  </si>
  <si>
    <r>
      <t xml:space="preserve"> JEFE DPTO. EDUCACION FISICA</t>
    </r>
    <r>
      <rPr>
        <b/>
        <sz val="9"/>
        <color indexed="10"/>
        <rFont val="Arial"/>
        <family val="2"/>
      </rPr>
      <t xml:space="preserve"> (transformado) 971 + 620</t>
    </r>
  </si>
  <si>
    <t xml:space="preserve"> DIRECTOR DE 1ERA CAT. CON PROLONG. DE JORN.</t>
  </si>
  <si>
    <t xml:space="preserve"> DIRECTOR DE 2DA CAT. CON PROLONG. DE JORN.</t>
  </si>
  <si>
    <t xml:space="preserve"> DIRECTOR DE 3ERA CAT. CON PROLONG. DE JORN.</t>
  </si>
  <si>
    <t xml:space="preserve"> VICEDIRECTOR DE 1ERA CAT. CON PROLONG. DE JORN.</t>
  </si>
  <si>
    <t xml:space="preserve"> VICEDIRECTOR DE 2DA CAT. CON PROLONG. DE JORN.</t>
  </si>
  <si>
    <t xml:space="preserve"> DIRECTOR DE 1ERA A/C DE 2 TURNOS CON P. DE JORN</t>
  </si>
  <si>
    <t xml:space="preserve"> DIRECTOR DE 2DA A/C DE 2 TURNOS CON P. DE JORN.</t>
  </si>
  <si>
    <t xml:space="preserve"> DIRECTOR DE 3ERA A/C DE 2 TURNOS CON P. DE JORN.</t>
  </si>
  <si>
    <t xml:space="preserve"> JEFE AGROPECUARIO 1ERA CAT. CON PROLONG. DE JORN.</t>
  </si>
  <si>
    <t xml:space="preserve"> JEFE AGROPECUARIO 2DA CAT. CON PROLONG. DE JORN.</t>
  </si>
  <si>
    <t xml:space="preserve"> JEFE AGROPECUARIO 3ERA CAT. CON PROLONG. DE JORN.</t>
  </si>
  <si>
    <t xml:space="preserve"> JEFE SECCION ESC. AGROP. CON PROLONG. DE JORN.</t>
  </si>
  <si>
    <t xml:space="preserve"> JEFE INTERN. 1ERA CAT. ESC. AGROP. CON P. DE JORN.</t>
  </si>
  <si>
    <t xml:space="preserve"> JEFE INTERN. 2DA CAT. ESC. AGROP. CON P. DE JORN.</t>
  </si>
  <si>
    <t xml:space="preserve"> JEFE INTERN. 3ERA CAT. ESC. AGROP. CON P. DE JORN.</t>
  </si>
  <si>
    <t xml:space="preserve"> PRECEPTOR AYUDANTE INTERN. 1ERA CAT. CON P. DE JORN. (Pasó a 684)</t>
  </si>
  <si>
    <t xml:space="preserve"> PRECEPTOR AYUDANTE INTERN. 2DA CAT. CON P. DE JORN. (Pasó a 684)</t>
  </si>
  <si>
    <t xml:space="preserve"> PRECEPTOR AYUDANTE INTERNADO</t>
  </si>
  <si>
    <t xml:space="preserve"> VICEDIRECTOR ESC. 3ERA CAT. CON PROLONG. DE JORN.</t>
  </si>
  <si>
    <t xml:space="preserve"> DIRECTOR DE 1ERA CAT. A/C DE 3 TURNOS CON P. DE JORN.</t>
  </si>
  <si>
    <t xml:space="preserve"> DIRECTOR DE 2DA CAT. A/C DE 3 TURNOS CON P. DE JORN.</t>
  </si>
  <si>
    <t xml:space="preserve"> DIRECTOR DE 3ERA CAT. A/C DE 3 TURNOS CON P. DE JORN.</t>
  </si>
  <si>
    <t xml:space="preserve"> PRECEPTOR AYUDANTE INTERN. ESC. TECNICA (Pasó a 684)</t>
  </si>
  <si>
    <t>JEFE SECTORIAL DE JORNADA COMPLETA AGRARIA</t>
  </si>
  <si>
    <t xml:space="preserve"> JEFE INTERN. ESC. TECNICA 1ERA CAT. CON PROL. DE JORN.</t>
  </si>
  <si>
    <t xml:space="preserve"> JEFE INTERN. ESC. TECNICA 2DA CAT. CON PROL. DE JORN.</t>
  </si>
  <si>
    <t xml:space="preserve"> JEFE INTERN. ESC. TECNICA 3ERA CAT. CON PROL. DE JORN.</t>
  </si>
  <si>
    <t xml:space="preserve"> AYUDANTE DE CATEDRA</t>
  </si>
  <si>
    <t xml:space="preserve"> REGENTE DE 3ERA CAT.</t>
  </si>
  <si>
    <t xml:space="preserve"> SUBREGENTE DE 1ERA CAT.</t>
  </si>
  <si>
    <t xml:space="preserve"> JEFE GRAL. DE ENS. PRACTICA 1ERA CAT.</t>
  </si>
  <si>
    <t xml:space="preserve"> JEFE GRAL. DE ENS. PRACTICA 2DA CAT.</t>
  </si>
  <si>
    <t xml:space="preserve"> MAESTRO DE GRADO ESC. ANEXAS FFAA</t>
  </si>
  <si>
    <t xml:space="preserve"> ASESORES</t>
  </si>
  <si>
    <t xml:space="preserve"> DIRECTOR ESC. 3RA CAT. ESC. ANEXAS FFAA</t>
  </si>
  <si>
    <t xml:space="preserve"> DIRECTOR ESC. 2DA CAT. ESC. ANEXAS FFAA</t>
  </si>
  <si>
    <t xml:space="preserve"> COORDINADOR HOGAR ESCUELA</t>
  </si>
  <si>
    <t xml:space="preserve"> JEFE DEPARTAMENTO TECNICO</t>
  </si>
  <si>
    <t xml:space="preserve"> SUPERVISOR DE ENSENANZA PRIMARIA</t>
  </si>
  <si>
    <t xml:space="preserve"> SUPERVISOR DE ENSENANZA ESPECIAL</t>
  </si>
  <si>
    <t xml:space="preserve"> SUPERVISOR DE EDUCACION FISICA</t>
  </si>
  <si>
    <t xml:space="preserve"> SUPERVISOR DE ACTIVIDADES PRACTICAS</t>
  </si>
  <si>
    <t xml:space="preserve"> SUPERVISOR DE EDUCACION MUSICAL</t>
  </si>
  <si>
    <t xml:space="preserve"> TECNICO DOCENTE</t>
  </si>
  <si>
    <t xml:space="preserve"> SECRETARIO DOCENTE HOGAR ESCUELA</t>
  </si>
  <si>
    <t xml:space="preserve"> DIRECTOR ESCUELA 1ERA CATEGORIA</t>
  </si>
  <si>
    <t xml:space="preserve"> DIRECTOR GABINETE DE PSICOMETRIA</t>
  </si>
  <si>
    <t xml:space="preserve"> DIRECTOR NIVEL INICIAL 1ERA CATEGORIA</t>
  </si>
  <si>
    <t xml:space="preserve"> DIRECTOR ESCUELA 2DA CATEGORIA</t>
  </si>
  <si>
    <t xml:space="preserve"> DIRECTOR NIVEL INICIAL 2DA CATEGORIA</t>
  </si>
  <si>
    <t xml:space="preserve"> DIRECTOR ESCUELA EDUCACION ESPECIAL</t>
  </si>
  <si>
    <t xml:space="preserve"> DIRECTOR ESCUELA 3ERA CATEGORIA</t>
  </si>
  <si>
    <t xml:space="preserve"> VICEDIRECTOR ESCUELA 1ERA CATEGORIA</t>
  </si>
  <si>
    <t xml:space="preserve"> DIRECTOR ESCUELA CARCEL</t>
  </si>
  <si>
    <t xml:space="preserve"> DIRECTOR ESCUELA 4TA CATEGORIA</t>
  </si>
  <si>
    <t xml:space="preserve"> TECNICO DIFERENCIADO</t>
  </si>
  <si>
    <t xml:space="preserve"> VICEDIRECTOR ESCUELA 2DA CATEGORIA</t>
  </si>
  <si>
    <t xml:space="preserve"> DIRECTOR ESCUELA MATERNAL</t>
  </si>
  <si>
    <t xml:space="preserve"> DIRECTOR ESCUELA ADULTOS 1ERA CATEGORIA</t>
  </si>
  <si>
    <t xml:space="preserve"> DIRECTOR ESCUELA CORAL</t>
  </si>
  <si>
    <t xml:space="preserve"> DIRECTOR ESCUELA ADULTOS 2DA CATEGORIA</t>
  </si>
  <si>
    <t xml:space="preserve"> MAESTRO DOMICILIARIO</t>
  </si>
  <si>
    <t xml:space="preserve"> VISITADOR</t>
  </si>
  <si>
    <t xml:space="preserve"> ASISTENTE SOCIAL</t>
  </si>
  <si>
    <t xml:space="preserve"> MAESTRO ESCUELA DIFERENCIADA</t>
  </si>
  <si>
    <t xml:space="preserve"> DIRECTOR PARQUE ESCOLAR "E. BERDUC"</t>
  </si>
  <si>
    <t xml:space="preserve"> MAESTRO ESPECIAL EDUCACION MUSICAL DIFERENCIADO</t>
  </si>
  <si>
    <t xml:space="preserve"> MAESTRO JARDIN DE INFANTES</t>
  </si>
  <si>
    <t xml:space="preserve"> MAESTRO DE GRADO DIFERENCIADO</t>
  </si>
  <si>
    <t xml:space="preserve"> MAESTRO CARCELARIO</t>
  </si>
  <si>
    <t xml:space="preserve"> SECRETARIO ESCUELA 2DA CATEGORIA</t>
  </si>
  <si>
    <t xml:space="preserve"> MAESTRO ESPECIAL ACTIVIDAD PRACTICAS DIFERENCIADA</t>
  </si>
  <si>
    <t xml:space="preserve"> MAESTRO ESCUELA MATERNAL</t>
  </si>
  <si>
    <t xml:space="preserve"> SECRETARIO ESCUELA 1ERA CATEGORIA</t>
  </si>
  <si>
    <t xml:space="preserve"> MAESTRO ESPECIAL ESCUELA CORAL</t>
  </si>
  <si>
    <t xml:space="preserve"> MAESTRO AUXILIAR ESCUELA DIFERENCIADA</t>
  </si>
  <si>
    <t xml:space="preserve"> MAESTRO EDUCACION FISICA</t>
  </si>
  <si>
    <t xml:space="preserve"> SECRETARIO ESCUELA ADULTOS</t>
  </si>
  <si>
    <t xml:space="preserve"> PSICOPEDAGOGO</t>
  </si>
  <si>
    <t xml:space="preserve"> TECNICO DOCENTE ENSENANZA ESPECIAL</t>
  </si>
  <si>
    <t xml:space="preserve"> DIRECTOR ESCUELA PARA CIEGOS</t>
  </si>
  <si>
    <t xml:space="preserve"> MAESTRO ESCUELA NOCTURNA</t>
  </si>
  <si>
    <t xml:space="preserve"> MAESTRO ESPECIAL ACTIVIDADES PRACTICAS</t>
  </si>
  <si>
    <t xml:space="preserve"> SECRETARIO PARQUE ESCOLAR</t>
  </si>
  <si>
    <t xml:space="preserve"> MAESTRO ESPECIAL ACTIVIDADES PRACTICAS ADULTO</t>
  </si>
  <si>
    <t xml:space="preserve"> MAESTRO ESPECIAL TECNICO AGROPECUARIO</t>
  </si>
  <si>
    <t xml:space="preserve"> MAESTRO HOSPITALARIO</t>
  </si>
  <si>
    <t xml:space="preserve"> BIBLIOTECARIO PEDAGOGICO</t>
  </si>
  <si>
    <t xml:space="preserve"> COORDINADOR CENTRO LABORAL</t>
  </si>
  <si>
    <t xml:space="preserve"> COORDINADOR DEPARTAMENTAL</t>
  </si>
  <si>
    <t xml:space="preserve"> MAESTRO ESPECIAL EDUCACION MUSICAL</t>
  </si>
  <si>
    <t xml:space="preserve"> FONOAUDIOLOGO</t>
  </si>
  <si>
    <t xml:space="preserve"> PSICOLOGO</t>
  </si>
  <si>
    <t xml:space="preserve"> DIRECTOR ESCUELA PARA SORDOS</t>
  </si>
  <si>
    <t xml:space="preserve"> VICEDIRECTOR ESCUELA ENSENANZA ESPECIAL</t>
  </si>
  <si>
    <t xml:space="preserve"> MAESTRO ESPECIAL EDUCACION FISICA DIFERENCIADO</t>
  </si>
  <si>
    <t xml:space="preserve"> SECRETARIO DOCENTE</t>
  </si>
  <si>
    <t xml:space="preserve"> SUPERVISOR ENSENANZA ADULTOS</t>
  </si>
  <si>
    <t xml:space="preserve"> MAESTRO AUXILIAR ESCUELA DIFERENCIADA JORNADA COMPLETA</t>
  </si>
  <si>
    <t xml:space="preserve"> MAESTRO ESPECIAL ACT. PRACT. DIFERENCIADA J. COMPLETA</t>
  </si>
  <si>
    <t xml:space="preserve"> DIRECTOR ESCUELA DIFERENCIADA JORNADA COMPLETA</t>
  </si>
  <si>
    <t xml:space="preserve"> VICEDIRECTOR ESCUELA DIFERENCIADA JORNADA COMPLETA</t>
  </si>
  <si>
    <t xml:space="preserve"> SECRETARIO ESCUELA DIFERENCIADA</t>
  </si>
  <si>
    <t xml:space="preserve"> MAESTRO ESPECIAL DE TALLER</t>
  </si>
  <si>
    <t xml:space="preserve"> MAESTRO ESPECIAL DE TALLER ANEXO ALBERGUE</t>
  </si>
  <si>
    <t xml:space="preserve"> DIRECTOR NIVEL INICIAL 3ERA CATEGORIA</t>
  </si>
  <si>
    <t xml:space="preserve"> CAPACITADORES CENTROS LABORALES   mecl</t>
  </si>
  <si>
    <t xml:space="preserve"> JEFE DPTO PEDAGOGICO Y SUPERVISION</t>
  </si>
  <si>
    <t>COORD. DPTAL. DE CENTROS P/ADULTOS</t>
  </si>
  <si>
    <t xml:space="preserve"> MAESTRO ESPECIAL EDUCACION MUSICAL ADULTOS</t>
  </si>
  <si>
    <t xml:space="preserve"> SECRETARIO DE SUPERVISION</t>
  </si>
  <si>
    <t xml:space="preserve"> ASESOR PSICOLOGIA EDUCATIVA</t>
  </si>
  <si>
    <t xml:space="preserve"> MAESTRO NIVELADOR</t>
  </si>
  <si>
    <t xml:space="preserve"> SUPERVISOR NIVEL INICIAL</t>
  </si>
  <si>
    <t xml:space="preserve"> SUPERVISOR BIBLIOTECAS ESCOLARES</t>
  </si>
  <si>
    <t xml:space="preserve"> SUPERVISOR TECNICO</t>
  </si>
  <si>
    <t xml:space="preserve"> DIRECTOR DPTO APLICACION</t>
  </si>
  <si>
    <t xml:space="preserve"> VICEDIRECTOR DPTO APLICACION DE 2DA CATEGORIA </t>
  </si>
  <si>
    <t xml:space="preserve"> SECRETARIO DPTO APLICACION</t>
  </si>
  <si>
    <t xml:space="preserve"> MAESTRO DPTO APLICACION</t>
  </si>
  <si>
    <t xml:space="preserve"> MAESTRO MATERIAS ESPECIALES DPTO APLICACION</t>
  </si>
  <si>
    <t xml:space="preserve"> DIRECTOR 1ERA CATEGORIA JORNADA COMPLETA</t>
  </si>
  <si>
    <t xml:space="preserve"> DIRECTOR 2DA CATEGORIA JORNADA COMPLETA</t>
  </si>
  <si>
    <t xml:space="preserve"> DIRECTOR 3ERA CATEGORIA JORNADA COMPLETA</t>
  </si>
  <si>
    <t xml:space="preserve"> DIRECTOR 4TA CATEGORIA JORNADA COMPLETA</t>
  </si>
  <si>
    <t xml:space="preserve"> VICEDIRECTOR 2DA CATEGORIA JORNADA COMPLETA</t>
  </si>
  <si>
    <t xml:space="preserve"> MAESTRO DE GRADO JORNADA COMPLETA</t>
  </si>
  <si>
    <t xml:space="preserve"> MAESTRO ESPECIAL DE ACT. PRACTICAS JORN. COMPLETA</t>
  </si>
  <si>
    <t xml:space="preserve"> MAESTRO JARDIN DE INFANTES JORNADA COMPLETA</t>
  </si>
  <si>
    <t xml:space="preserve"> VICEDIRECTOR NIVEL INICIAL 2DA CATEGORIA</t>
  </si>
  <si>
    <t xml:space="preserve"> DIRECTOR 2DA ANEXO ALBERGUE</t>
  </si>
  <si>
    <t xml:space="preserve"> MAESTRO DE GRADO ANEXO ALBERGUE</t>
  </si>
  <si>
    <t xml:space="preserve"> MAESTRO ESP. ACTIV. PRACTICAS ANEXO ALBERGUE</t>
  </si>
  <si>
    <t xml:space="preserve"> DIRECTOR 3ERA CATEGORIA ANEXO ALBERGUE</t>
  </si>
  <si>
    <t xml:space="preserve"> DIRECTOR 4TA CATEGORIA ANEXO ALBERGUE</t>
  </si>
  <si>
    <t xml:space="preserve"> CELADOR ANEXO ALBERGUE</t>
  </si>
  <si>
    <t xml:space="preserve"> VICEDIRECTOR 1ERA CATEGORIA JORNADA COMPLETA</t>
  </si>
  <si>
    <t xml:space="preserve"> SECRETARIO 1ERA CATEGORIA JORNADA COMPLETA</t>
  </si>
  <si>
    <t xml:space="preserve"> SECRETARIO 2DA CATEGORIA JORNADA COMPLETA</t>
  </si>
  <si>
    <t xml:space="preserve"> SECRETARIO 3ERA CATEGORIA JORNADA COMPLETA</t>
  </si>
  <si>
    <t xml:space="preserve"> COORDINADOR PROVINCIAL DEL PROGRAMA</t>
  </si>
  <si>
    <t xml:space="preserve"> TECNICO DEL PROGRAMA 35 HS</t>
  </si>
  <si>
    <t xml:space="preserve"> TECNICO DOCENTE 20 HS</t>
  </si>
  <si>
    <t xml:space="preserve"> RESPONSABLE ZONAL O SECTORIAL</t>
  </si>
  <si>
    <t xml:space="preserve"> EDUCADOR DE ADULTOS</t>
  </si>
  <si>
    <t xml:space="preserve"> COORDINADOR ZONAL EDUCACION ADULTOS</t>
  </si>
  <si>
    <t xml:space="preserve"> MAESTRO ESPECIAL EDUCACION MUSICAL JORNADA COMPLETA</t>
  </si>
  <si>
    <t xml:space="preserve"> MAESTRO ESPECIAL EDUCACION FISICA JORN. COMPLETA</t>
  </si>
  <si>
    <t xml:space="preserve"> MAESTRO ESPECIAL JORNADA SIMPLE SIN PROLONGACION DE JORNADA</t>
  </si>
  <si>
    <t xml:space="preserve"> MAESTRO ESPECIAL EDUCACION MUSICAL ANEXO ALBERGUE</t>
  </si>
  <si>
    <t xml:space="preserve"> MAESTRO ESPECIAL EDUCACION FISICA ANEXO ALBERGUE</t>
  </si>
  <si>
    <t xml:space="preserve"> MAESTRO ESPECIAL DE TALLER JORNADA COMPLETA</t>
  </si>
  <si>
    <t xml:space="preserve"> MAESTRO ESPECIAL TECNICO AGROPECUARIO JORN. COMPLETA</t>
  </si>
  <si>
    <t xml:space="preserve"> DIRECTOR PERSONAL UNICO</t>
  </si>
  <si>
    <t xml:space="preserve"> SECRETARIO ESCUELA 3ERA CATEGORIA</t>
  </si>
  <si>
    <t xml:space="preserve"> COORDINADOR CENTRO COMUNITARIO</t>
  </si>
  <si>
    <t xml:space="preserve"> MAESTRO GRADO EGB3 (PRIMARIA)</t>
  </si>
  <si>
    <t xml:space="preserve"> JEFE DPTO PEDAGOGICO Y DE SUPERVISION</t>
  </si>
  <si>
    <t xml:space="preserve"> SUPERVISOR INSTITUTO SUPERIOR</t>
  </si>
  <si>
    <t xml:space="preserve"> SUPERVISOR ENSE¥ANZA ESPECIAL</t>
  </si>
  <si>
    <t xml:space="preserve"> SUPERVISOR ENSE¥ANZA PRIMARIA</t>
  </si>
  <si>
    <t xml:space="preserve"> VICERECTOR INSTITUTO SUPERIOR</t>
  </si>
  <si>
    <t xml:space="preserve"> SECRETARIO TECNICO DPTO. PEDAGOGICO</t>
  </si>
  <si>
    <t xml:space="preserve"> DIRECTOR PRIMERA CATEGORIA</t>
  </si>
  <si>
    <t xml:space="preserve"> DIRECTOR SEGUNDA CATEGORIA</t>
  </si>
  <si>
    <t xml:space="preserve"> DIRECTOR TERCERA CATEGORIA</t>
  </si>
  <si>
    <t xml:space="preserve"> DIRECTOR CUARTA CATEGORIA</t>
  </si>
  <si>
    <t xml:space="preserve"> DIRECTOR ESC. NIVEL INICIAL 2DA CATEGORIA</t>
  </si>
  <si>
    <t xml:space="preserve"> VICEDIRECTOR ESC. PRIMARIA 1ERA CATEGORIA</t>
  </si>
  <si>
    <t xml:space="preserve"> VICEDIRECTOR ESC. PRIMARIA 2DA CATEGORIA</t>
  </si>
  <si>
    <t xml:space="preserve"> VICEDIRECTOR ESC. EDUCACION ESPECIAL</t>
  </si>
  <si>
    <t xml:space="preserve"> SECRETARIO ESC. 2DA CATEGORIA</t>
  </si>
  <si>
    <t xml:space="preserve"> MAESTRO DE GRADO ESC. PRIMARIA</t>
  </si>
  <si>
    <t xml:space="preserve"> MAESTRO DE JARDIN DE INFANTES</t>
  </si>
  <si>
    <t xml:space="preserve"> MAESTRO DE GRUPO ESC. DIFERENCIADA</t>
  </si>
  <si>
    <t xml:space="preserve"> MAESTRO DE GRADO ADULTOS</t>
  </si>
  <si>
    <t xml:space="preserve"> MAESTRO DE EDUCACION FISICA</t>
  </si>
  <si>
    <t xml:space="preserve"> MAESTRO MATERIAS ESPECIALES</t>
  </si>
  <si>
    <t xml:space="preserve"> MAESTRO MATERIAS ESPECIALES ESC. DIFERENCIADA</t>
  </si>
  <si>
    <t xml:space="preserve"> PRECEPTOR ESC. DIFERENCIADA</t>
  </si>
  <si>
    <t xml:space="preserve"> DIRECTOR ESCUELA CAPACITACION TECNICA 4TA CATEGORIA</t>
  </si>
  <si>
    <t xml:space="preserve"> MAESTRO ESC. CAPACITACION TECNICA</t>
  </si>
  <si>
    <t xml:space="preserve"> RECTOR INSTITUTO SUPERIOR</t>
  </si>
  <si>
    <t xml:space="preserve"> SECRETARIO INSTITUTO SUPERIOR</t>
  </si>
  <si>
    <t xml:space="preserve"> BIBLIOTECARIO INSTITUTO SUPERIOR</t>
  </si>
  <si>
    <t xml:space="preserve"> PRECEPTOR INSTITUTO SUPERIOR</t>
  </si>
  <si>
    <t xml:space="preserve"> BEDEL</t>
  </si>
  <si>
    <t>PRECEPTOR INSTITUTO SUPERIOR - PRIVADA</t>
  </si>
  <si>
    <t xml:space="preserve"> DIRECTOR ESC. CAPACITACION TECNICA 3ERA CATEGORIA</t>
  </si>
  <si>
    <t xml:space="preserve"> DIRECTOR ESC. CAPACITACION TECNICA 1ERA CATEGORIA</t>
  </si>
  <si>
    <t xml:space="preserve"> DIRECTOR ESC. CAPACITACION TECNICA 2DA CATEGORIA</t>
  </si>
  <si>
    <t xml:space="preserve"> SECRETARIO ESC. PRIMARIA 1ERA CATEGORIA</t>
  </si>
  <si>
    <t xml:space="preserve"> DIRECTOR ESC. 2DA CATEGORIA JORNADA COMPLETA</t>
  </si>
  <si>
    <t xml:space="preserve"> MAESTRO DE EDUCACION FISICA JORNADA COMPLETA</t>
  </si>
  <si>
    <t xml:space="preserve"> MAESTRO DE ACTIVIDADES PRACTICAS JORNADA COMPLETA</t>
  </si>
  <si>
    <t xml:space="preserve"> MAESTRO DE EDUCACION MUSICAL JORNADA COMPLETA</t>
  </si>
  <si>
    <t xml:space="preserve"> VICEDIRECTOR ESC. 2DA CATEGORIA JORNADA COMPLETA</t>
  </si>
  <si>
    <t xml:space="preserve"> DIRECTOR ESC. 3ERA CAT. JORNADA COMPLETA</t>
  </si>
  <si>
    <t xml:space="preserve"> VICEDIRECTOR ESC. TECNICA 1ERA CATEGORIA</t>
  </si>
  <si>
    <t xml:space="preserve"> SECRETARIO DOCENTE PRIVADA</t>
  </si>
  <si>
    <t xml:space="preserve"> DIRECTOR ESCUELA ENFERMERIA</t>
  </si>
  <si>
    <t xml:space="preserve"> JEFE DOCENTE ESCUELA ENFERMERIA</t>
  </si>
  <si>
    <t xml:space="preserve"> SECRETARIO DOCENTE ESCUELA ENFERMERIA</t>
  </si>
  <si>
    <t xml:space="preserve"> SECRETARIO ADMINISTRATIVO ESCUELA ENFERMERIA</t>
  </si>
  <si>
    <t xml:space="preserve"> INSTRUCTOR INSTITUTO SUPERIOR</t>
  </si>
  <si>
    <t xml:space="preserve"> SECRETARIO DOCENTE SUPERIOR</t>
  </si>
  <si>
    <t xml:space="preserve"> SECRETARIO ACADEMICO</t>
  </si>
  <si>
    <t xml:space="preserve"> JEFE LABORATORIO COMPUTACION</t>
  </si>
  <si>
    <t xml:space="preserve"> MAESTRO ESCUELA ESPECIAL</t>
  </si>
  <si>
    <t xml:space="preserve"> PRECEPTOR GUIA INTERNADO INSTITUTO SUPERIOR</t>
  </si>
  <si>
    <t xml:space="preserve"> SECRETARIO ESCUELA ESPECIAL</t>
  </si>
  <si>
    <t xml:space="preserve"> DIRECTOR ESC. NIVEL INICIAL 3era CATEGORIA</t>
  </si>
  <si>
    <t xml:space="preserve"> DIRECTOR ESC. NIVEL INICIAL 4ta CATEGORIA</t>
  </si>
  <si>
    <t xml:space="preserve"> KINESIOLOGO</t>
  </si>
  <si>
    <t xml:space="preserve"> MAESTRO ORIENTADOR</t>
  </si>
  <si>
    <t xml:space="preserve"> MAESTRO DE EDUCACION MUSICAL</t>
  </si>
  <si>
    <t xml:space="preserve"> MAESTRO DE ACTIVIDADES PRACTICAS</t>
  </si>
  <si>
    <t xml:space="preserve"> DIRECTOR DPTO APLICACIÓN L. V.</t>
  </si>
  <si>
    <t xml:space="preserve"> SUBDIRECTOR DPTO APLICACION L.V.</t>
  </si>
  <si>
    <t xml:space="preserve"> JEFE DPTO EDUCACION FISICA</t>
  </si>
  <si>
    <t xml:space="preserve"> DIRECTOR JARDIN DE INFANTES</t>
  </si>
  <si>
    <t xml:space="preserve"> SUBDIRECTOR JARDIN DE INFANTES</t>
  </si>
  <si>
    <t xml:space="preserve"> MAESTRO DE GRADO L.V.</t>
  </si>
  <si>
    <t xml:space="preserve"> MAESTRO ESP DPTO APLICACION L.V.</t>
  </si>
  <si>
    <t xml:space="preserve"> ANALISTA TECNICO</t>
  </si>
  <si>
    <t xml:space="preserve"> MAESTRO ESPECIAL JARDIN DEINFANTES</t>
  </si>
  <si>
    <t xml:space="preserve"> DIRECTOR/RECTOR 1§ - 2 TURNOS</t>
  </si>
  <si>
    <t xml:space="preserve"> DIRECTOR/RECTOR 1§ - 3 TURNOS</t>
  </si>
  <si>
    <t xml:space="preserve"> VICEDIRECTOR 1RA Y 2DA</t>
  </si>
  <si>
    <t xml:space="preserve"> REGENTE</t>
  </si>
  <si>
    <t xml:space="preserve"> VICERECTOR CURSO PROF.</t>
  </si>
  <si>
    <t xml:space="preserve"> RECTOR CURSO PROF.</t>
  </si>
  <si>
    <t xml:space="preserve"> SECRETARIO NIVEL SUPERIOR</t>
  </si>
  <si>
    <t xml:space="preserve"> PROSECRETARIO NIVEL SUPERIOR</t>
  </si>
  <si>
    <t xml:space="preserve"> JEFE TRABAJOS PRACTICOS</t>
  </si>
  <si>
    <t xml:space="preserve"> DIRECTOR</t>
  </si>
  <si>
    <t xml:space="preserve"> ANALISTA PRINC TEC DOC</t>
  </si>
  <si>
    <t>SUPERVISOR DE INSTITUTO SUPERIOR</t>
  </si>
  <si>
    <t/>
  </si>
  <si>
    <t>PUNTOS basicos</t>
  </si>
  <si>
    <t xml:space="preserve"> tarea DIFER.</t>
  </si>
  <si>
    <t>Prol JORN</t>
  </si>
  <si>
    <t>jorn Compl</t>
  </si>
  <si>
    <t>Traslado cod 188</t>
  </si>
  <si>
    <t>Función diferencial</t>
  </si>
  <si>
    <t>prolong. Jorn - Docente</t>
  </si>
  <si>
    <t>Federación de  jubil</t>
  </si>
  <si>
    <t>Dto. 1109/05(cod06act)</t>
  </si>
  <si>
    <t>Jubilado - CARGOS</t>
  </si>
  <si>
    <t>cargos</t>
  </si>
  <si>
    <t xml:space="preserve">Deben seleccionar el número de cargo o  el número de horas que aparecen en rojo, </t>
  </si>
  <si>
    <t>todo lo demás aparece automáticamente</t>
  </si>
  <si>
    <t>Si no conocen el número de cargo, lo pueden buscar en la hoja "cargos", seleccionando la pestaña</t>
  </si>
  <si>
    <t xml:space="preserve">que aparece en la parte inferior de la pantalla o presionando al final de este párrafo, y buscar su </t>
  </si>
  <si>
    <t>número para luego ingresarlo en el lugar especificado.</t>
  </si>
  <si>
    <t>Cargos</t>
  </si>
  <si>
    <t xml:space="preserve">Meses trabajados en el cargo en los últimos 10 años: </t>
  </si>
  <si>
    <t>Si trabajaron en los últimos 10 años en diferentes cargos, se deberá calcular en forma fraccionada,</t>
  </si>
  <si>
    <t>www.agmeruruguay.com.ar</t>
  </si>
  <si>
    <t>Otros</t>
  </si>
  <si>
    <t>Listado Cargos</t>
  </si>
  <si>
    <t>Dto. 1109/05 (cod 06 act)</t>
  </si>
  <si>
    <t>Fracción</t>
  </si>
  <si>
    <t>Bon zona esc</t>
  </si>
  <si>
    <t>Zona</t>
  </si>
  <si>
    <t>el comentario aparece al posicionar el cursor sobre la celda.</t>
  </si>
  <si>
    <t xml:space="preserve">Leer los comentarios en las celdas que tengan una puntita roja en el ángulo superior derecho, </t>
  </si>
  <si>
    <t>salminjorcom</t>
  </si>
  <si>
    <t>Códigos nivel medio prop 8 feb/07</t>
  </si>
  <si>
    <t>cod38medfeb07</t>
  </si>
  <si>
    <t>cod22medfeb07</t>
  </si>
  <si>
    <t>cod06medfeb07</t>
  </si>
  <si>
    <t>cod17medfeb07</t>
  </si>
  <si>
    <t>Códigos nivel Superior 24 feb/06</t>
  </si>
  <si>
    <t>cod38supfeb07</t>
  </si>
  <si>
    <t>cod22supfeb07</t>
  </si>
  <si>
    <t>cod06supfeb07</t>
  </si>
  <si>
    <t>cod17supfeb07</t>
  </si>
  <si>
    <r>
      <t>Si encuentran errores, por favor avísenme.</t>
    </r>
    <r>
      <rPr>
        <sz val="11"/>
        <color indexed="17"/>
        <rFont val="Arial"/>
        <family val="2"/>
      </rPr>
      <t>victorhutt@victorhutt.com.ar</t>
    </r>
  </si>
  <si>
    <t>victorhutt@victorhutt.com.ar</t>
  </si>
  <si>
    <t>Control 120 meses:</t>
  </si>
  <si>
    <t>cod06medago07</t>
  </si>
  <si>
    <t>cod06supago07</t>
  </si>
  <si>
    <t>cod06medsep07</t>
  </si>
  <si>
    <t>cod06supsep07</t>
  </si>
  <si>
    <r>
      <t xml:space="preserve">Jubilado - CARGOS - </t>
    </r>
    <r>
      <rPr>
        <b/>
        <u val="single"/>
        <sz val="16"/>
        <color indexed="10"/>
        <rFont val="Arial"/>
        <family val="2"/>
      </rPr>
      <t>primer cargo</t>
    </r>
  </si>
  <si>
    <r>
      <t xml:space="preserve">Jubilado - CARGOS </t>
    </r>
    <r>
      <rPr>
        <b/>
        <u val="single"/>
        <sz val="16"/>
        <color indexed="12"/>
        <rFont val="Arial"/>
        <family val="2"/>
      </rPr>
      <t>segundo cargo</t>
    </r>
  </si>
  <si>
    <r>
      <t xml:space="preserve">Jubilado - CARGOS - </t>
    </r>
    <r>
      <rPr>
        <b/>
        <u val="single"/>
        <sz val="16"/>
        <color indexed="17"/>
        <rFont val="Arial"/>
        <family val="2"/>
      </rPr>
      <t>tercer cargo</t>
    </r>
  </si>
  <si>
    <r>
      <t xml:space="preserve">Jubilado - CARGOS - </t>
    </r>
    <r>
      <rPr>
        <b/>
        <u val="single"/>
        <sz val="16"/>
        <color indexed="16"/>
        <rFont val="Arial"/>
        <family val="2"/>
      </rPr>
      <t>cuarto cargo</t>
    </r>
  </si>
  <si>
    <t>1º Cargo</t>
  </si>
  <si>
    <t>2º Cargo</t>
  </si>
  <si>
    <t>3º cargo</t>
  </si>
  <si>
    <t>4º cargo</t>
  </si>
  <si>
    <t>Final</t>
  </si>
  <si>
    <t>Puntos Comp basico</t>
  </si>
  <si>
    <t>hasta 971</t>
  </si>
  <si>
    <t>972&lt;pi&lt;= 1169</t>
  </si>
  <si>
    <t>1170&lt;pi&lt;1400</t>
  </si>
  <si>
    <t>1401&lt;pi&lt;1942</t>
  </si>
  <si>
    <t>1943&lt;pi&lt;=2220</t>
  </si>
  <si>
    <t>pi&gt;2220</t>
  </si>
  <si>
    <t>pijc&gt;=620    971</t>
  </si>
  <si>
    <t>JC &gt; 971</t>
  </si>
  <si>
    <t>JC defint</t>
  </si>
  <si>
    <t>Comp Básico</t>
  </si>
  <si>
    <t>Puntos  prol jornada</t>
  </si>
  <si>
    <t>indiceoct08</t>
  </si>
  <si>
    <t>proljoroct08</t>
  </si>
  <si>
    <t>cod06dic08</t>
  </si>
  <si>
    <t>Octubre</t>
  </si>
  <si>
    <t>Jubilados Docentes de Entre Ríós</t>
  </si>
  <si>
    <t>Para ello deben ingresar en "para varios cargos" seleccionando en la solapa que aparece en la parte inferior.</t>
  </si>
  <si>
    <t xml:space="preserve">Se deberá completar la cantidad de meses en cada cargo en el lugar señalado, </t>
  </si>
  <si>
    <t>Luego controlar que en el recibo final aparezcan 120 meses en total.</t>
  </si>
  <si>
    <t>Recibo Final</t>
  </si>
  <si>
    <t>Autor</t>
  </si>
  <si>
    <t>Dec 1266/08 Art 4º</t>
  </si>
  <si>
    <t>26 de febrero de 2,009</t>
  </si>
  <si>
    <t>indicefeb09</t>
  </si>
  <si>
    <t>proljorfeb09</t>
  </si>
  <si>
    <t>cod06feb09</t>
  </si>
  <si>
    <t>Haberes jubilados desde Marzo 09</t>
  </si>
  <si>
    <t>cod06mar09varios1</t>
  </si>
  <si>
    <t>cod06mar09varios2</t>
  </si>
  <si>
    <t>cod06mar09varios3</t>
  </si>
  <si>
    <t>cod06mar09varios4</t>
  </si>
  <si>
    <t>Salario Desde marzo de 2.009</t>
  </si>
  <si>
    <t>indicemar2010</t>
  </si>
  <si>
    <t>proljormar2010</t>
  </si>
  <si>
    <t>indicejul2010</t>
  </si>
  <si>
    <t>proljorjul2010</t>
  </si>
  <si>
    <t>aum06mar10</t>
  </si>
  <si>
    <t>aum06jul10</t>
  </si>
  <si>
    <t>Marzo de 2.010</t>
  </si>
  <si>
    <t>Julio de 2.010</t>
  </si>
  <si>
    <t>cod06mar10</t>
  </si>
  <si>
    <t>cod06jul10</t>
  </si>
  <si>
    <t>Porcentaje de jubilación</t>
  </si>
  <si>
    <t>cod06mar10varios1</t>
  </si>
  <si>
    <t>cod06jul10varios1</t>
  </si>
  <si>
    <t>cod06mar10varios2</t>
  </si>
  <si>
    <t>cod06jul10varios2</t>
  </si>
  <si>
    <t>cod06mar10varios3</t>
  </si>
  <si>
    <t>cod06jul10varios3</t>
  </si>
  <si>
    <t>cod06mar10varios4</t>
  </si>
  <si>
    <t>cod06jul10varios4</t>
  </si>
  <si>
    <t>Salario Desde marzo de 2.010</t>
  </si>
  <si>
    <t>Salario Desde julio de 2.010</t>
  </si>
  <si>
    <t>Aumento</t>
  </si>
  <si>
    <t>Aumento porcentual</t>
  </si>
  <si>
    <t>Aumento desde marzo</t>
  </si>
  <si>
    <t>Aumento desde febrero</t>
  </si>
  <si>
    <t>Simulador para calcular el aumento de sueldo de un jubilado que se desempeñó en varios cargos</t>
  </si>
  <si>
    <t>Completar cada cargo y al final aparecerá el recibo terminado</t>
  </si>
  <si>
    <t>se puede modificar si es necesario</t>
  </si>
  <si>
    <t>Desde febrero de 2.010 a Julio de 2.010</t>
  </si>
  <si>
    <t>Debe sumar 120 meses</t>
  </si>
  <si>
    <t>Haberes jubilados desde Marzo de 2.010</t>
  </si>
  <si>
    <t>Haberes jubilados desde Julio de 2.010</t>
  </si>
  <si>
    <t xml:space="preserve">Hoja de cálculo  para evaluar propuesta salarial para </t>
  </si>
  <si>
    <t>Según propuesta del 22 de Febrero de 2.010</t>
  </si>
  <si>
    <t>Está hecho en base a los valores propuestos de aumentos el 22 de Febrero de 2.010</t>
  </si>
  <si>
    <t>Los meses se refieren a aumentos a activos, Los jubilados lo recibirán 30 o 60 días después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</si>
</sst>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$&quot;#,##0.00;\-&quot;$&quot;#,##0.00"/>
    <numFmt numFmtId="174" formatCode="0.000"/>
    <numFmt numFmtId="175" formatCode="#,##0.00\ _€"/>
    <numFmt numFmtId="176" formatCode="0.0"/>
    <numFmt numFmtId="177" formatCode="0.000000"/>
    <numFmt numFmtId="178" formatCode="0.00000"/>
    <numFmt numFmtId="179" formatCode="0.0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\ &quot;€&quot;"/>
    <numFmt numFmtId="184" formatCode="[$$-2C0A]\ #,##0"/>
    <numFmt numFmtId="185" formatCode="0.0000000"/>
    <numFmt numFmtId="186" formatCode="&quot;$&quot;\ #,##0.00"/>
    <numFmt numFmtId="187" formatCode="[$€-2]\ #,##0.00_);[Red]\([$€-2]\ #,##0.00\)"/>
  </numFmts>
  <fonts count="78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8"/>
      <color indexed="13"/>
      <name val="Arial"/>
      <family val="2"/>
    </font>
    <font>
      <b/>
      <sz val="18"/>
      <color indexed="9"/>
      <name val="Arial"/>
      <family val="2"/>
    </font>
    <font>
      <b/>
      <sz val="16"/>
      <color indexed="20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53"/>
      <name val="Arial"/>
      <family val="2"/>
    </font>
    <font>
      <sz val="11"/>
      <color indexed="17"/>
      <name val="Arial"/>
      <family val="2"/>
    </font>
    <font>
      <sz val="10"/>
      <color indexed="8"/>
      <name val="Arial"/>
      <family val="2"/>
    </font>
    <font>
      <b/>
      <u val="single"/>
      <sz val="16"/>
      <color indexed="1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4"/>
      <color indexed="53"/>
      <name val="Arial"/>
      <family val="2"/>
    </font>
    <font>
      <b/>
      <u val="single"/>
      <sz val="14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0"/>
    </font>
    <font>
      <b/>
      <sz val="12"/>
      <color indexed="58"/>
      <name val="Arial"/>
      <family val="2"/>
    </font>
    <font>
      <u val="single"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4"/>
      <color indexed="9"/>
      <name val="Arial"/>
      <family val="2"/>
    </font>
    <font>
      <sz val="11"/>
      <color indexed="9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6"/>
      <color indexed="17"/>
      <name val="Arial"/>
      <family val="2"/>
    </font>
    <font>
      <b/>
      <u val="single"/>
      <sz val="16"/>
      <color indexed="16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18"/>
      <name val="Arial"/>
      <family val="2"/>
    </font>
    <font>
      <sz val="18"/>
      <name val="Arial"/>
      <family val="0"/>
    </font>
    <font>
      <sz val="10"/>
      <color indexed="52"/>
      <name val="Arial"/>
      <family val="0"/>
    </font>
    <font>
      <b/>
      <sz val="16"/>
      <color indexed="12"/>
      <name val="Arial"/>
      <family val="2"/>
    </font>
    <font>
      <b/>
      <u val="single"/>
      <sz val="14"/>
      <color indexed="11"/>
      <name val="Arial"/>
      <family val="2"/>
    </font>
    <font>
      <b/>
      <u val="single"/>
      <sz val="26"/>
      <color indexed="12"/>
      <name val="Arial"/>
      <family val="2"/>
    </font>
    <font>
      <sz val="12"/>
      <color indexed="9"/>
      <name val="Arial"/>
      <family val="2"/>
    </font>
    <font>
      <u val="single"/>
      <sz val="12"/>
      <color indexed="9"/>
      <name val="Arial"/>
      <family val="2"/>
    </font>
    <font>
      <sz val="11"/>
      <color indexed="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6"/>
      <color indexed="9"/>
      <name val="Arial"/>
      <family val="0"/>
    </font>
    <font>
      <sz val="16"/>
      <name val="Arial"/>
      <family val="0"/>
    </font>
    <font>
      <sz val="16"/>
      <color indexed="15"/>
      <name val="Arial"/>
      <family val="0"/>
    </font>
    <font>
      <b/>
      <sz val="12"/>
      <color indexed="15"/>
      <name val="Arial"/>
      <family val="2"/>
    </font>
    <font>
      <sz val="14"/>
      <color indexed="9"/>
      <name val="Arial"/>
      <family val="0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</fills>
  <borders count="6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52"/>
      </left>
      <right style="thick">
        <color indexed="51"/>
      </right>
      <top style="thick">
        <color indexed="52"/>
      </top>
      <bottom style="thick">
        <color indexed="52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ck">
        <color indexed="17"/>
      </top>
      <bottom style="thick">
        <color indexed="17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51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ck">
        <color indexed="39"/>
      </right>
      <top style="thick">
        <color indexed="39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 style="thick">
        <color indexed="39"/>
      </bottom>
    </border>
    <border>
      <left style="thick">
        <color indexed="39"/>
      </left>
      <right>
        <color indexed="63"/>
      </right>
      <top>
        <color indexed="63"/>
      </top>
      <bottom style="thick">
        <color indexed="39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39"/>
      </left>
      <right>
        <color indexed="63"/>
      </right>
      <top style="thick">
        <color indexed="39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2"/>
      </top>
      <bottom style="thick">
        <color indexed="5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0" fillId="0" borderId="1" xfId="0" applyFon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2" fontId="0" fillId="0" borderId="2" xfId="0" applyNumberForma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9" fillId="0" borderId="0" xfId="0" applyFont="1" applyBorder="1" applyAlignment="1" applyProtection="1">
      <alignment horizontal="right"/>
      <protection hidden="1"/>
    </xf>
    <xf numFmtId="0" fontId="24" fillId="2" borderId="3" xfId="0" applyFont="1" applyFill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30" fillId="0" borderId="2" xfId="0" applyFon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32" fillId="0" borderId="2" xfId="0" applyFont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30" fillId="2" borderId="2" xfId="0" applyFont="1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22" fillId="0" borderId="2" xfId="0" applyFont="1" applyBorder="1" applyAlignment="1" applyProtection="1">
      <alignment/>
      <protection hidden="1"/>
    </xf>
    <xf numFmtId="0" fontId="31" fillId="0" borderId="2" xfId="0" applyFont="1" applyBorder="1" applyAlignment="1" applyProtection="1">
      <alignment/>
      <protection hidden="1"/>
    </xf>
    <xf numFmtId="0" fontId="22" fillId="0" borderId="7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9" fillId="0" borderId="2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/>
      <protection/>
    </xf>
    <xf numFmtId="175" fontId="22" fillId="0" borderId="4" xfId="19" applyNumberFormat="1" applyFont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/>
      <protection/>
    </xf>
    <xf numFmtId="0" fontId="28" fillId="4" borderId="11" xfId="15" applyFont="1" applyFill="1" applyBorder="1" applyAlignment="1" applyProtection="1">
      <alignment/>
      <protection/>
    </xf>
    <xf numFmtId="0" fontId="36" fillId="2" borderId="3" xfId="0" applyFont="1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0" fontId="28" fillId="4" borderId="13" xfId="15" applyFont="1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37" fillId="4" borderId="15" xfId="15" applyFont="1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7" fillId="0" borderId="0" xfId="15" applyFont="1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9" fillId="6" borderId="0" xfId="0" applyFont="1" applyFill="1" applyBorder="1" applyAlignment="1" applyProtection="1">
      <alignment/>
      <protection/>
    </xf>
    <xf numFmtId="0" fontId="10" fillId="6" borderId="19" xfId="0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2" fillId="5" borderId="0" xfId="0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7" fillId="0" borderId="0" xfId="15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2" fontId="18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9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2" fontId="3" fillId="0" borderId="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21" fillId="0" borderId="22" xfId="0" applyFont="1" applyBorder="1" applyAlignment="1" applyProtection="1">
      <alignment/>
      <protection/>
    </xf>
    <xf numFmtId="1" fontId="21" fillId="0" borderId="22" xfId="0" applyNumberFormat="1" applyFont="1" applyBorder="1" applyAlignment="1" applyProtection="1">
      <alignment/>
      <protection/>
    </xf>
    <xf numFmtId="2" fontId="0" fillId="0" borderId="2" xfId="0" applyNumberFormat="1" applyBorder="1" applyAlignment="1" applyProtection="1">
      <alignment horizontal="left"/>
      <protection/>
    </xf>
    <xf numFmtId="0" fontId="30" fillId="0" borderId="2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2" fontId="3" fillId="0" borderId="18" xfId="0" applyNumberFormat="1" applyFont="1" applyBorder="1" applyAlignment="1" applyProtection="1">
      <alignment horizontal="center"/>
      <protection/>
    </xf>
    <xf numFmtId="9" fontId="0" fillId="0" borderId="6" xfId="0" applyNumberFormat="1" applyBorder="1" applyAlignment="1" applyProtection="1">
      <alignment/>
      <protection/>
    </xf>
    <xf numFmtId="2" fontId="0" fillId="0" borderId="6" xfId="0" applyNumberForma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2" fontId="2" fillId="0" borderId="5" xfId="0" applyNumberFormat="1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172" fontId="2" fillId="0" borderId="17" xfId="0" applyNumberFormat="1" applyFont="1" applyBorder="1" applyAlignment="1" applyProtection="1">
      <alignment/>
      <protection/>
    </xf>
    <xf numFmtId="2" fontId="34" fillId="0" borderId="18" xfId="0" applyNumberFormat="1" applyFont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26" fillId="0" borderId="17" xfId="0" applyFont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/>
      <protection/>
    </xf>
    <xf numFmtId="2" fontId="2" fillId="0" borderId="18" xfId="0" applyNumberFormat="1" applyFont="1" applyBorder="1" applyAlignment="1" applyProtection="1">
      <alignment/>
      <protection/>
    </xf>
    <xf numFmtId="2" fontId="2" fillId="0" borderId="18" xfId="0" applyNumberFormat="1" applyFont="1" applyBorder="1" applyAlignment="1" applyProtection="1">
      <alignment horizontal="right"/>
      <protection/>
    </xf>
    <xf numFmtId="2" fontId="24" fillId="0" borderId="18" xfId="0" applyNumberFormat="1" applyFont="1" applyBorder="1" applyAlignment="1" applyProtection="1">
      <alignment horizontal="right"/>
      <protection/>
    </xf>
    <xf numFmtId="2" fontId="21" fillId="0" borderId="22" xfId="0" applyNumberFormat="1" applyFont="1" applyBorder="1" applyAlignment="1" applyProtection="1">
      <alignment/>
      <protection/>
    </xf>
    <xf numFmtId="0" fontId="20" fillId="0" borderId="2" xfId="0" applyFont="1" applyBorder="1" applyAlignment="1" applyProtection="1">
      <alignment/>
      <protection locked="0"/>
    </xf>
    <xf numFmtId="2" fontId="22" fillId="0" borderId="4" xfId="0" applyNumberFormat="1" applyFont="1" applyBorder="1" applyAlignment="1" applyProtection="1">
      <alignment horizontal="left"/>
      <protection locked="0"/>
    </xf>
    <xf numFmtId="9" fontId="20" fillId="0" borderId="24" xfId="0" applyNumberFormat="1" applyFont="1" applyBorder="1" applyAlignment="1" applyProtection="1">
      <alignment horizontal="center"/>
      <protection locked="0"/>
    </xf>
    <xf numFmtId="0" fontId="2" fillId="7" borderId="25" xfId="0" applyFont="1" applyFill="1" applyBorder="1" applyAlignment="1" applyProtection="1">
      <alignment/>
      <protection/>
    </xf>
    <xf numFmtId="0" fontId="2" fillId="8" borderId="26" xfId="0" applyFont="1" applyFill="1" applyBorder="1" applyAlignment="1" applyProtection="1">
      <alignment/>
      <protection/>
    </xf>
    <xf numFmtId="0" fontId="0" fillId="8" borderId="27" xfId="0" applyFill="1" applyBorder="1" applyAlignment="1" applyProtection="1">
      <alignment/>
      <protection/>
    </xf>
    <xf numFmtId="9" fontId="24" fillId="9" borderId="28" xfId="21" applyFont="1" applyFill="1" applyBorder="1" applyAlignment="1" applyProtection="1">
      <alignment/>
      <protection/>
    </xf>
    <xf numFmtId="9" fontId="24" fillId="9" borderId="7" xfId="21" applyFont="1" applyFill="1" applyBorder="1" applyAlignment="1" applyProtection="1">
      <alignment/>
      <protection/>
    </xf>
    <xf numFmtId="9" fontId="24" fillId="4" borderId="7" xfId="21" applyFont="1" applyFill="1" applyBorder="1" applyAlignment="1" applyProtection="1">
      <alignment/>
      <protection/>
    </xf>
    <xf numFmtId="9" fontId="24" fillId="4" borderId="8" xfId="21" applyFont="1" applyFill="1" applyBorder="1" applyAlignment="1" applyProtection="1">
      <alignment/>
      <protection/>
    </xf>
    <xf numFmtId="0" fontId="20" fillId="8" borderId="29" xfId="0" applyFont="1" applyFill="1" applyBorder="1" applyAlignment="1" applyProtection="1">
      <alignment/>
      <protection locked="0"/>
    </xf>
    <xf numFmtId="0" fontId="2" fillId="10" borderId="30" xfId="0" applyFont="1" applyFill="1" applyBorder="1" applyAlignment="1" applyProtection="1">
      <alignment horizontal="right"/>
      <protection/>
    </xf>
    <xf numFmtId="0" fontId="2" fillId="10" borderId="31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9" fontId="20" fillId="0" borderId="24" xfId="21" applyFont="1" applyBorder="1" applyAlignment="1" applyProtection="1">
      <alignment horizontal="center"/>
      <protection locked="0"/>
    </xf>
    <xf numFmtId="9" fontId="22" fillId="5" borderId="32" xfId="0" applyNumberFormat="1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24" fillId="11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8" borderId="0" xfId="0" applyFont="1" applyFill="1" applyAlignment="1" applyProtection="1">
      <alignment/>
      <protection/>
    </xf>
    <xf numFmtId="0" fontId="2" fillId="12" borderId="0" xfId="0" applyFont="1" applyFill="1" applyAlignment="1" applyProtection="1">
      <alignment/>
      <protection/>
    </xf>
    <xf numFmtId="2" fontId="0" fillId="0" borderId="17" xfId="0" applyNumberFormat="1" applyBorder="1" applyAlignment="1" applyProtection="1">
      <alignment/>
      <protection/>
    </xf>
    <xf numFmtId="0" fontId="34" fillId="3" borderId="18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3" borderId="14" xfId="0" applyFont="1" applyFill="1" applyBorder="1" applyAlignment="1" applyProtection="1">
      <alignment/>
      <protection/>
    </xf>
    <xf numFmtId="0" fontId="34" fillId="3" borderId="14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2" fillId="4" borderId="0" xfId="0" applyFont="1" applyFill="1" applyAlignment="1" applyProtection="1">
      <alignment/>
      <protection/>
    </xf>
    <xf numFmtId="0" fontId="22" fillId="13" borderId="0" xfId="0" applyFont="1" applyFill="1" applyAlignment="1" applyProtection="1">
      <alignment/>
      <protection/>
    </xf>
    <xf numFmtId="0" fontId="22" fillId="14" borderId="0" xfId="0" applyFont="1" applyFill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22" fillId="8" borderId="0" xfId="0" applyFont="1" applyFill="1" applyAlignment="1" applyProtection="1">
      <alignment/>
      <protection/>
    </xf>
    <xf numFmtId="0" fontId="22" fillId="12" borderId="0" xfId="0" applyFont="1" applyFill="1" applyAlignment="1" applyProtection="1">
      <alignment/>
      <protection/>
    </xf>
    <xf numFmtId="0" fontId="22" fillId="3" borderId="33" xfId="0" applyFont="1" applyFill="1" applyBorder="1" applyAlignment="1" applyProtection="1">
      <alignment/>
      <protection/>
    </xf>
    <xf numFmtId="0" fontId="24" fillId="3" borderId="33" xfId="0" applyFont="1" applyFill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29" fillId="11" borderId="0" xfId="0" applyFont="1" applyFill="1" applyBorder="1" applyAlignment="1" applyProtection="1">
      <alignment/>
      <protection/>
    </xf>
    <xf numFmtId="0" fontId="2" fillId="11" borderId="0" xfId="0" applyFon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5" borderId="0" xfId="0" applyFill="1" applyAlignment="1">
      <alignment/>
    </xf>
    <xf numFmtId="0" fontId="0" fillId="3" borderId="0" xfId="0" applyFill="1" applyAlignment="1">
      <alignment/>
    </xf>
    <xf numFmtId="9" fontId="24" fillId="3" borderId="0" xfId="2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49" fillId="8" borderId="26" xfId="0" applyFont="1" applyFill="1" applyBorder="1" applyAlignment="1" applyProtection="1">
      <alignment/>
      <protection/>
    </xf>
    <xf numFmtId="0" fontId="50" fillId="8" borderId="29" xfId="0" applyFont="1" applyFill="1" applyBorder="1" applyAlignment="1" applyProtection="1">
      <alignment/>
      <protection locked="0"/>
    </xf>
    <xf numFmtId="1" fontId="0" fillId="3" borderId="0" xfId="0" applyNumberFormat="1" applyFill="1" applyAlignment="1" applyProtection="1">
      <alignment/>
      <protection/>
    </xf>
    <xf numFmtId="0" fontId="20" fillId="3" borderId="0" xfId="0" applyFont="1" applyFill="1" applyBorder="1" applyAlignment="1" applyProtection="1">
      <alignment horizontal="center"/>
      <protection/>
    </xf>
    <xf numFmtId="9" fontId="0" fillId="3" borderId="0" xfId="21" applyFill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left"/>
      <protection/>
    </xf>
    <xf numFmtId="0" fontId="23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0" fillId="3" borderId="0" xfId="0" applyFill="1" applyBorder="1" applyAlignment="1" applyProtection="1">
      <alignment horizontal="right"/>
      <protection/>
    </xf>
    <xf numFmtId="172" fontId="0" fillId="3" borderId="0" xfId="0" applyNumberFormat="1" applyFill="1" applyBorder="1" applyAlignment="1" applyProtection="1">
      <alignment/>
      <protection/>
    </xf>
    <xf numFmtId="2" fontId="18" fillId="3" borderId="0" xfId="0" applyNumberFormat="1" applyFont="1" applyFill="1" applyBorder="1" applyAlignment="1" applyProtection="1">
      <alignment horizontal="right"/>
      <protection/>
    </xf>
    <xf numFmtId="172" fontId="25" fillId="3" borderId="0" xfId="0" applyNumberFormat="1" applyFont="1" applyFill="1" applyBorder="1" applyAlignment="1" applyProtection="1">
      <alignment/>
      <protection/>
    </xf>
    <xf numFmtId="10" fontId="25" fillId="3" borderId="0" xfId="21" applyNumberFormat="1" applyFont="1" applyFill="1" applyBorder="1" applyAlignment="1" applyProtection="1">
      <alignment horizontal="right"/>
      <protection/>
    </xf>
    <xf numFmtId="9" fontId="24" fillId="4" borderId="0" xfId="2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9" fontId="20" fillId="0" borderId="24" xfId="0" applyNumberFormat="1" applyFont="1" applyFill="1" applyBorder="1" applyAlignment="1" applyProtection="1">
      <alignment horizontal="center"/>
      <protection locked="0"/>
    </xf>
    <xf numFmtId="1" fontId="0" fillId="4" borderId="0" xfId="0" applyNumberFormat="1" applyFill="1" applyAlignment="1" applyProtection="1">
      <alignment/>
      <protection/>
    </xf>
    <xf numFmtId="0" fontId="20" fillId="4" borderId="0" xfId="0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9" fontId="0" fillId="4" borderId="0" xfId="21" applyFill="1" applyAlignment="1" applyProtection="1">
      <alignment/>
      <protection/>
    </xf>
    <xf numFmtId="9" fontId="24" fillId="6" borderId="0" xfId="21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1" fontId="0" fillId="6" borderId="0" xfId="0" applyNumberFormat="1" applyFill="1" applyAlignment="1" applyProtection="1">
      <alignment/>
      <protection/>
    </xf>
    <xf numFmtId="0" fontId="20" fillId="6" borderId="0" xfId="0" applyFont="1" applyFill="1" applyBorder="1" applyAlignment="1" applyProtection="1">
      <alignment horizontal="center"/>
      <protection/>
    </xf>
    <xf numFmtId="9" fontId="0" fillId="6" borderId="0" xfId="21" applyFill="1" applyAlignment="1" applyProtection="1">
      <alignment/>
      <protection/>
    </xf>
    <xf numFmtId="9" fontId="24" fillId="16" borderId="0" xfId="21" applyFont="1" applyFill="1" applyBorder="1" applyAlignment="1" applyProtection="1">
      <alignment/>
      <protection/>
    </xf>
    <xf numFmtId="0" fontId="0" fillId="16" borderId="0" xfId="0" applyFill="1" applyBorder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1" fontId="0" fillId="16" borderId="0" xfId="0" applyNumberFormat="1" applyFill="1" applyAlignment="1" applyProtection="1">
      <alignment/>
      <protection/>
    </xf>
    <xf numFmtId="0" fontId="20" fillId="16" borderId="0" xfId="0" applyFont="1" applyFill="1" applyBorder="1" applyAlignment="1" applyProtection="1">
      <alignment horizontal="center"/>
      <protection/>
    </xf>
    <xf numFmtId="9" fontId="0" fillId="16" borderId="0" xfId="21" applyFill="1" applyAlignment="1" applyProtection="1">
      <alignment/>
      <protection/>
    </xf>
    <xf numFmtId="0" fontId="8" fillId="5" borderId="17" xfId="0" applyFont="1" applyFill="1" applyBorder="1" applyAlignment="1" applyProtection="1">
      <alignment/>
      <protection/>
    </xf>
    <xf numFmtId="0" fontId="51" fillId="5" borderId="10" xfId="0" applyFont="1" applyFill="1" applyBorder="1" applyAlignment="1">
      <alignment/>
    </xf>
    <xf numFmtId="0" fontId="52" fillId="5" borderId="10" xfId="0" applyFont="1" applyFill="1" applyBorder="1" applyAlignment="1" applyProtection="1">
      <alignment/>
      <protection/>
    </xf>
    <xf numFmtId="0" fontId="8" fillId="5" borderId="18" xfId="0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34" fillId="0" borderId="0" xfId="0" applyFont="1" applyFill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 horizontal="right"/>
      <protection/>
    </xf>
    <xf numFmtId="0" fontId="8" fillId="5" borderId="0" xfId="0" applyFont="1" applyFill="1" applyBorder="1" applyAlignment="1" applyProtection="1">
      <alignment/>
      <protection/>
    </xf>
    <xf numFmtId="2" fontId="34" fillId="0" borderId="0" xfId="0" applyNumberFormat="1" applyFont="1" applyBorder="1" applyAlignment="1" applyProtection="1">
      <alignment horizontal="center"/>
      <protection/>
    </xf>
    <xf numFmtId="0" fontId="26" fillId="0" borderId="34" xfId="0" applyFont="1" applyBorder="1" applyAlignment="1">
      <alignment/>
    </xf>
    <xf numFmtId="0" fontId="3" fillId="0" borderId="34" xfId="0" applyFont="1" applyBorder="1" applyAlignment="1">
      <alignment/>
    </xf>
    <xf numFmtId="0" fontId="58" fillId="3" borderId="34" xfId="15" applyFont="1" applyFill="1" applyBorder="1" applyAlignment="1">
      <alignment/>
    </xf>
    <xf numFmtId="0" fontId="58" fillId="4" borderId="34" xfId="15" applyFont="1" applyFill="1" applyBorder="1" applyAlignment="1">
      <alignment/>
    </xf>
    <xf numFmtId="0" fontId="59" fillId="6" borderId="34" xfId="15" applyFont="1" applyFill="1" applyBorder="1" applyAlignment="1">
      <alignment/>
    </xf>
    <xf numFmtId="0" fontId="58" fillId="16" borderId="34" xfId="15" applyFont="1" applyFill="1" applyBorder="1" applyAlignment="1">
      <alignment/>
    </xf>
    <xf numFmtId="0" fontId="37" fillId="0" borderId="34" xfId="15" applyFont="1" applyBorder="1" applyAlignment="1">
      <alignment horizontal="center"/>
    </xf>
    <xf numFmtId="0" fontId="21" fillId="0" borderId="0" xfId="0" applyFont="1" applyBorder="1" applyAlignment="1" applyProtection="1">
      <alignment/>
      <protection/>
    </xf>
    <xf numFmtId="1" fontId="21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Alignment="1" applyProtection="1">
      <alignment/>
      <protection hidden="1"/>
    </xf>
    <xf numFmtId="0" fontId="0" fillId="0" borderId="23" xfId="0" applyNumberFormat="1" applyBorder="1" applyAlignment="1" applyProtection="1">
      <alignment/>
      <protection hidden="1"/>
    </xf>
    <xf numFmtId="0" fontId="3" fillId="0" borderId="35" xfId="0" applyFont="1" applyBorder="1" applyAlignment="1" applyProtection="1">
      <alignment horizontal="center"/>
      <protection/>
    </xf>
    <xf numFmtId="9" fontId="24" fillId="9" borderId="36" xfId="21" applyFont="1" applyFill="1" applyBorder="1" applyAlignment="1" applyProtection="1">
      <alignment/>
      <protection/>
    </xf>
    <xf numFmtId="0" fontId="20" fillId="0" borderId="37" xfId="0" applyFont="1" applyFill="1" applyBorder="1" applyAlignment="1" applyProtection="1">
      <alignment horizontal="center"/>
      <protection/>
    </xf>
    <xf numFmtId="0" fontId="14" fillId="0" borderId="3" xfId="0" applyFont="1" applyBorder="1" applyAlignment="1">
      <alignment horizontal="center"/>
    </xf>
    <xf numFmtId="0" fontId="42" fillId="17" borderId="2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3" fillId="8" borderId="2" xfId="0" applyFont="1" applyFill="1" applyBorder="1" applyAlignment="1" applyProtection="1">
      <alignment/>
      <protection/>
    </xf>
    <xf numFmtId="9" fontId="24" fillId="9" borderId="38" xfId="21" applyFont="1" applyFill="1" applyBorder="1" applyAlignment="1" applyProtection="1">
      <alignment/>
      <protection/>
    </xf>
    <xf numFmtId="0" fontId="14" fillId="0" borderId="39" xfId="0" applyFont="1" applyBorder="1" applyAlignment="1">
      <alignment horizontal="center"/>
    </xf>
    <xf numFmtId="9" fontId="24" fillId="4" borderId="38" xfId="21" applyFont="1" applyFill="1" applyBorder="1" applyAlignment="1" applyProtection="1">
      <alignment/>
      <protection/>
    </xf>
    <xf numFmtId="0" fontId="0" fillId="17" borderId="2" xfId="0" applyFill="1" applyBorder="1" applyAlignment="1" applyProtection="1">
      <alignment/>
      <protection/>
    </xf>
    <xf numFmtId="9" fontId="24" fillId="4" borderId="40" xfId="21" applyFont="1" applyFill="1" applyBorder="1" applyAlignment="1" applyProtection="1">
      <alignment/>
      <protection/>
    </xf>
    <xf numFmtId="0" fontId="20" fillId="0" borderId="41" xfId="0" applyFont="1" applyFill="1" applyBorder="1" applyAlignment="1" applyProtection="1">
      <alignment horizontal="center"/>
      <protection/>
    </xf>
    <xf numFmtId="10" fontId="53" fillId="0" borderId="0" xfId="21" applyNumberFormat="1" applyFont="1" applyFill="1" applyBorder="1" applyAlignment="1" applyProtection="1">
      <alignment horizontal="right"/>
      <protection/>
    </xf>
    <xf numFmtId="2" fontId="53" fillId="0" borderId="0" xfId="0" applyNumberFormat="1" applyFont="1" applyFill="1" applyAlignment="1" applyProtection="1">
      <alignment/>
      <protection/>
    </xf>
    <xf numFmtId="10" fontId="54" fillId="0" borderId="0" xfId="21" applyNumberFormat="1" applyFont="1" applyFill="1" applyBorder="1" applyAlignment="1" applyProtection="1">
      <alignment horizontal="left"/>
      <protection/>
    </xf>
    <xf numFmtId="10" fontId="53" fillId="0" borderId="0" xfId="21" applyNumberFormat="1" applyFont="1" applyFill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2" fontId="0" fillId="0" borderId="43" xfId="0" applyNumberFormat="1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2" fontId="0" fillId="0" borderId="44" xfId="0" applyNumberFormat="1" applyBorder="1" applyAlignment="1" applyProtection="1">
      <alignment horizontal="left"/>
      <protection/>
    </xf>
    <xf numFmtId="2" fontId="0" fillId="0" borderId="45" xfId="0" applyNumberFormat="1" applyBorder="1" applyAlignment="1" applyProtection="1">
      <alignment horizontal="left"/>
      <protection/>
    </xf>
    <xf numFmtId="2" fontId="22" fillId="0" borderId="46" xfId="0" applyNumberFormat="1" applyFont="1" applyBorder="1" applyAlignment="1" applyProtection="1">
      <alignment horizontal="left"/>
      <protection locked="0"/>
    </xf>
    <xf numFmtId="0" fontId="0" fillId="0" borderId="38" xfId="0" applyBorder="1" applyAlignment="1" applyProtection="1">
      <alignment/>
      <protection/>
    </xf>
    <xf numFmtId="2" fontId="0" fillId="0" borderId="47" xfId="0" applyNumberFormat="1" applyBorder="1" applyAlignment="1" applyProtection="1">
      <alignment horizontal="right"/>
      <protection/>
    </xf>
    <xf numFmtId="0" fontId="0" fillId="0" borderId="7" xfId="0" applyFill="1" applyBorder="1" applyAlignment="1" applyProtection="1">
      <alignment/>
      <protection/>
    </xf>
    <xf numFmtId="2" fontId="0" fillId="0" borderId="44" xfId="0" applyNumberFormat="1" applyBorder="1" applyAlignment="1" applyProtection="1">
      <alignment horizontal="right"/>
      <protection/>
    </xf>
    <xf numFmtId="0" fontId="0" fillId="0" borderId="7" xfId="0" applyFont="1" applyFill="1" applyBorder="1" applyAlignment="1" applyProtection="1">
      <alignment/>
      <protection/>
    </xf>
    <xf numFmtId="175" fontId="22" fillId="0" borderId="46" xfId="19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2" fontId="2" fillId="0" borderId="48" xfId="0" applyNumberFormat="1" applyFont="1" applyBorder="1" applyAlignment="1" applyProtection="1">
      <alignment horizontal="left"/>
      <protection/>
    </xf>
    <xf numFmtId="0" fontId="0" fillId="0" borderId="40" xfId="0" applyBorder="1" applyAlignment="1" applyProtection="1">
      <alignment horizontal="right"/>
      <protection/>
    </xf>
    <xf numFmtId="2" fontId="0" fillId="0" borderId="14" xfId="0" applyNumberFormat="1" applyBorder="1" applyAlignment="1" applyProtection="1">
      <alignment horizontal="right"/>
      <protection/>
    </xf>
    <xf numFmtId="0" fontId="0" fillId="0" borderId="0" xfId="0" applyFill="1" applyAlignment="1">
      <alignment/>
    </xf>
    <xf numFmtId="9" fontId="24" fillId="0" borderId="0" xfId="2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4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2" fontId="2" fillId="0" borderId="2" xfId="0" applyNumberFormat="1" applyFont="1" applyBorder="1" applyAlignment="1" applyProtection="1">
      <alignment horizontal="right"/>
      <protection/>
    </xf>
    <xf numFmtId="2" fontId="2" fillId="0" borderId="2" xfId="0" applyNumberFormat="1" applyFont="1" applyBorder="1" applyAlignment="1" applyProtection="1">
      <alignment horizontal="center"/>
      <protection/>
    </xf>
    <xf numFmtId="2" fontId="3" fillId="0" borderId="2" xfId="0" applyNumberFormat="1" applyFont="1" applyBorder="1" applyAlignment="1" applyProtection="1">
      <alignment horizontal="center"/>
      <protection/>
    </xf>
    <xf numFmtId="172" fontId="60" fillId="0" borderId="0" xfId="0" applyNumberFormat="1" applyFont="1" applyFill="1" applyBorder="1" applyAlignment="1" applyProtection="1">
      <alignment/>
      <protection/>
    </xf>
    <xf numFmtId="10" fontId="60" fillId="0" borderId="0" xfId="21" applyNumberFormat="1" applyFont="1" applyFill="1" applyAlignment="1">
      <alignment/>
    </xf>
    <xf numFmtId="0" fontId="29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0" fontId="29" fillId="4" borderId="0" xfId="0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right"/>
      <protection/>
    </xf>
    <xf numFmtId="172" fontId="0" fillId="4" borderId="0" xfId="0" applyNumberFormat="1" applyFill="1" applyBorder="1" applyAlignment="1" applyProtection="1">
      <alignment/>
      <protection/>
    </xf>
    <xf numFmtId="2" fontId="18" fillId="4" borderId="0" xfId="0" applyNumberFormat="1" applyFont="1" applyFill="1" applyBorder="1" applyAlignment="1" applyProtection="1">
      <alignment horizontal="right"/>
      <protection/>
    </xf>
    <xf numFmtId="172" fontId="25" fillId="4" borderId="0" xfId="0" applyNumberFormat="1" applyFont="1" applyFill="1" applyBorder="1" applyAlignment="1" applyProtection="1">
      <alignment/>
      <protection/>
    </xf>
    <xf numFmtId="10" fontId="25" fillId="4" borderId="0" xfId="21" applyNumberFormat="1" applyFont="1" applyFill="1" applyBorder="1" applyAlignment="1" applyProtection="1">
      <alignment horizontal="right"/>
      <protection/>
    </xf>
    <xf numFmtId="0" fontId="2" fillId="4" borderId="0" xfId="0" applyFont="1" applyFill="1" applyBorder="1" applyAlignment="1" applyProtection="1">
      <alignment horizontal="right"/>
      <protection/>
    </xf>
    <xf numFmtId="0" fontId="40" fillId="3" borderId="0" xfId="0" applyFont="1" applyFill="1" applyBorder="1" applyAlignment="1" applyProtection="1">
      <alignment/>
      <protection/>
    </xf>
    <xf numFmtId="0" fontId="40" fillId="4" borderId="0" xfId="0" applyFont="1" applyFill="1" applyBorder="1" applyAlignment="1" applyProtection="1">
      <alignment/>
      <protection/>
    </xf>
    <xf numFmtId="0" fontId="0" fillId="6" borderId="0" xfId="0" applyFill="1" applyAlignment="1">
      <alignment/>
    </xf>
    <xf numFmtId="0" fontId="29" fillId="6" borderId="0" xfId="0" applyFont="1" applyFill="1" applyBorder="1" applyAlignment="1" applyProtection="1">
      <alignment/>
      <protection/>
    </xf>
    <xf numFmtId="0" fontId="2" fillId="6" borderId="0" xfId="0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172" fontId="2" fillId="6" borderId="0" xfId="0" applyNumberFormat="1" applyFont="1" applyFill="1" applyBorder="1" applyAlignment="1" applyProtection="1">
      <alignment/>
      <protection/>
    </xf>
    <xf numFmtId="2" fontId="34" fillId="6" borderId="0" xfId="0" applyNumberFormat="1" applyFont="1" applyFill="1" applyBorder="1" applyAlignment="1" applyProtection="1">
      <alignment horizontal="center"/>
      <protection/>
    </xf>
    <xf numFmtId="10" fontId="34" fillId="6" borderId="0" xfId="21" applyNumberFormat="1" applyFont="1" applyFill="1" applyBorder="1" applyAlignment="1" applyProtection="1">
      <alignment horizontal="center"/>
      <protection/>
    </xf>
    <xf numFmtId="0" fontId="40" fillId="6" borderId="0" xfId="0" applyFont="1" applyFill="1" applyBorder="1" applyAlignment="1" applyProtection="1">
      <alignment/>
      <protection/>
    </xf>
    <xf numFmtId="0" fontId="0" fillId="6" borderId="0" xfId="0" applyFill="1" applyBorder="1" applyAlignment="1">
      <alignment/>
    </xf>
    <xf numFmtId="0" fontId="2" fillId="6" borderId="0" xfId="0" applyFont="1" applyFill="1" applyBorder="1" applyAlignment="1" applyProtection="1">
      <alignment horizontal="right"/>
      <protection/>
    </xf>
    <xf numFmtId="0" fontId="0" fillId="16" borderId="0" xfId="0" applyFill="1" applyBorder="1" applyAlignment="1">
      <alignment/>
    </xf>
    <xf numFmtId="0" fontId="0" fillId="16" borderId="0" xfId="0" applyFill="1" applyAlignment="1">
      <alignment/>
    </xf>
    <xf numFmtId="0" fontId="29" fillId="16" borderId="0" xfId="0" applyFont="1" applyFill="1" applyBorder="1" applyAlignment="1" applyProtection="1">
      <alignment/>
      <protection/>
    </xf>
    <xf numFmtId="0" fontId="2" fillId="16" borderId="0" xfId="0" applyFont="1" applyFill="1" applyBorder="1" applyAlignment="1" applyProtection="1">
      <alignment/>
      <protection/>
    </xf>
    <xf numFmtId="2" fontId="0" fillId="16" borderId="0" xfId="0" applyNumberFormat="1" applyFill="1" applyBorder="1" applyAlignment="1" applyProtection="1">
      <alignment/>
      <protection/>
    </xf>
    <xf numFmtId="0" fontId="0" fillId="16" borderId="0" xfId="0" applyFill="1" applyBorder="1" applyAlignment="1" applyProtection="1">
      <alignment horizontal="right"/>
      <protection/>
    </xf>
    <xf numFmtId="172" fontId="2" fillId="16" borderId="0" xfId="0" applyNumberFormat="1" applyFont="1" applyFill="1" applyBorder="1" applyAlignment="1" applyProtection="1">
      <alignment/>
      <protection/>
    </xf>
    <xf numFmtId="2" fontId="34" fillId="16" borderId="0" xfId="0" applyNumberFormat="1" applyFont="1" applyFill="1" applyBorder="1" applyAlignment="1" applyProtection="1">
      <alignment horizontal="center"/>
      <protection/>
    </xf>
    <xf numFmtId="0" fontId="40" fillId="16" borderId="0" xfId="0" applyFont="1" applyFill="1" applyBorder="1" applyAlignment="1" applyProtection="1">
      <alignment/>
      <protection/>
    </xf>
    <xf numFmtId="0" fontId="2" fillId="16" borderId="0" xfId="0" applyFont="1" applyFill="1" applyBorder="1" applyAlignment="1" applyProtection="1">
      <alignment horizontal="right"/>
      <protection/>
    </xf>
    <xf numFmtId="0" fontId="5" fillId="15" borderId="0" xfId="0" applyFont="1" applyFill="1" applyAlignment="1">
      <alignment/>
    </xf>
    <xf numFmtId="0" fontId="53" fillId="15" borderId="0" xfId="0" applyFont="1" applyFill="1" applyAlignment="1">
      <alignment/>
    </xf>
    <xf numFmtId="43" fontId="0" fillId="0" borderId="0" xfId="17" applyFont="1" applyFill="1" applyAlignment="1" applyProtection="1">
      <alignment/>
      <protection/>
    </xf>
    <xf numFmtId="2" fontId="22" fillId="0" borderId="2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62" fillId="0" borderId="0" xfId="0" applyFont="1" applyAlignment="1" applyProtection="1">
      <alignment/>
      <protection/>
    </xf>
    <xf numFmtId="10" fontId="53" fillId="18" borderId="0" xfId="21" applyNumberFormat="1" applyFont="1" applyFill="1" applyBorder="1" applyAlignment="1" applyProtection="1">
      <alignment horizontal="right"/>
      <protection/>
    </xf>
    <xf numFmtId="0" fontId="46" fillId="4" borderId="49" xfId="0" applyFont="1" applyFill="1" applyBorder="1" applyAlignment="1" applyProtection="1">
      <alignment/>
      <protection/>
    </xf>
    <xf numFmtId="0" fontId="46" fillId="4" borderId="50" xfId="0" applyFont="1" applyFill="1" applyBorder="1" applyAlignment="1" applyProtection="1">
      <alignment/>
      <protection/>
    </xf>
    <xf numFmtId="0" fontId="46" fillId="4" borderId="0" xfId="0" applyFont="1" applyFill="1" applyBorder="1" applyAlignment="1" applyProtection="1">
      <alignment/>
      <protection/>
    </xf>
    <xf numFmtId="0" fontId="47" fillId="4" borderId="50" xfId="15" applyFont="1" applyFill="1" applyBorder="1" applyAlignment="1" applyProtection="1">
      <alignment/>
      <protection/>
    </xf>
    <xf numFmtId="0" fontId="45" fillId="4" borderId="50" xfId="15" applyFont="1" applyFill="1" applyBorder="1" applyAlignment="1" applyProtection="1">
      <alignment/>
      <protection/>
    </xf>
    <xf numFmtId="0" fontId="46" fillId="4" borderId="51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0" fillId="0" borderId="2" xfId="0" applyFont="1" applyFill="1" applyBorder="1" applyAlignment="1" applyProtection="1">
      <alignment/>
      <protection locked="0"/>
    </xf>
    <xf numFmtId="0" fontId="29" fillId="0" borderId="20" xfId="0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1" fontId="21" fillId="0" borderId="0" xfId="0" applyNumberFormat="1" applyFont="1" applyFill="1" applyBorder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2" fontId="43" fillId="0" borderId="0" xfId="0" applyNumberFormat="1" applyFont="1" applyFill="1" applyBorder="1" applyAlignment="1" applyProtection="1">
      <alignment horizontal="left"/>
      <protection/>
    </xf>
    <xf numFmtId="0" fontId="63" fillId="19" borderId="0" xfId="0" applyFont="1" applyFill="1" applyAlignment="1" applyProtection="1">
      <alignment/>
      <protection/>
    </xf>
    <xf numFmtId="0" fontId="19" fillId="4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9" fontId="0" fillId="0" borderId="0" xfId="21" applyFill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1" fontId="21" fillId="0" borderId="22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 locked="0"/>
    </xf>
    <xf numFmtId="0" fontId="2" fillId="19" borderId="0" xfId="0" applyFont="1" applyFill="1" applyBorder="1" applyAlignment="1" applyProtection="1">
      <alignment/>
      <protection/>
    </xf>
    <xf numFmtId="0" fontId="0" fillId="19" borderId="0" xfId="0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43" fillId="0" borderId="0" xfId="0" applyFont="1" applyFill="1" applyAlignment="1" applyProtection="1">
      <alignment horizontal="right"/>
      <protection/>
    </xf>
    <xf numFmtId="172" fontId="22" fillId="0" borderId="0" xfId="0" applyNumberFormat="1" applyFont="1" applyFill="1" applyBorder="1" applyAlignment="1" applyProtection="1">
      <alignment horizontal="center"/>
      <protection/>
    </xf>
    <xf numFmtId="0" fontId="0" fillId="20" borderId="0" xfId="0" applyFill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0" fontId="1" fillId="20" borderId="0" xfId="0" applyFont="1" applyFill="1" applyAlignment="1" applyProtection="1">
      <alignment horizontal="left"/>
      <protection/>
    </xf>
    <xf numFmtId="2" fontId="22" fillId="0" borderId="46" xfId="0" applyNumberFormat="1" applyFont="1" applyBorder="1" applyAlignment="1" applyProtection="1">
      <alignment horizontal="right"/>
      <protection locked="0"/>
    </xf>
    <xf numFmtId="10" fontId="35" fillId="0" borderId="0" xfId="21" applyNumberFormat="1" applyFont="1" applyFill="1" applyBorder="1" applyAlignment="1" applyProtection="1">
      <alignment horizontal="right"/>
      <protection/>
    </xf>
    <xf numFmtId="2" fontId="61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9" fillId="8" borderId="52" xfId="0" applyFont="1" applyFill="1" applyBorder="1" applyAlignment="1" applyProtection="1">
      <alignment/>
      <protection/>
    </xf>
    <xf numFmtId="0" fontId="7" fillId="8" borderId="53" xfId="15" applyFont="1" applyFill="1" applyBorder="1" applyAlignment="1" applyProtection="1">
      <alignment/>
      <protection/>
    </xf>
    <xf numFmtId="0" fontId="0" fillId="8" borderId="53" xfId="0" applyFill="1" applyBorder="1" applyAlignment="1" applyProtection="1">
      <alignment/>
      <protection/>
    </xf>
    <xf numFmtId="0" fontId="0" fillId="8" borderId="54" xfId="0" applyFill="1" applyBorder="1" applyAlignment="1" applyProtection="1">
      <alignment/>
      <protection/>
    </xf>
    <xf numFmtId="2" fontId="22" fillId="0" borderId="2" xfId="0" applyNumberFormat="1" applyFont="1" applyBorder="1" applyAlignment="1" applyProtection="1">
      <alignment horizontal="left"/>
      <protection locked="0"/>
    </xf>
    <xf numFmtId="0" fontId="65" fillId="15" borderId="0" xfId="0" applyFont="1" applyFill="1" applyAlignment="1">
      <alignment/>
    </xf>
    <xf numFmtId="0" fontId="66" fillId="0" borderId="0" xfId="0" applyFont="1" applyAlignment="1" applyProtection="1">
      <alignment/>
      <protection/>
    </xf>
    <xf numFmtId="0" fontId="35" fillId="20" borderId="55" xfId="0" applyFont="1" applyFill="1" applyBorder="1" applyAlignment="1" applyProtection="1">
      <alignment/>
      <protection/>
    </xf>
    <xf numFmtId="0" fontId="35" fillId="20" borderId="56" xfId="0" applyFont="1" applyFill="1" applyBorder="1" applyAlignment="1" applyProtection="1">
      <alignment/>
      <protection/>
    </xf>
    <xf numFmtId="0" fontId="0" fillId="20" borderId="57" xfId="0" applyFont="1" applyFill="1" applyBorder="1" applyAlignment="1" applyProtection="1">
      <alignment/>
      <protection/>
    </xf>
    <xf numFmtId="0" fontId="0" fillId="20" borderId="0" xfId="0" applyFill="1" applyBorder="1" applyAlignment="1" applyProtection="1">
      <alignment horizontal="right"/>
      <protection/>
    </xf>
    <xf numFmtId="172" fontId="0" fillId="20" borderId="0" xfId="0" applyNumberFormat="1" applyFill="1" applyBorder="1" applyAlignment="1" applyProtection="1">
      <alignment/>
      <protection/>
    </xf>
    <xf numFmtId="2" fontId="18" fillId="20" borderId="0" xfId="0" applyNumberFormat="1" applyFont="1" applyFill="1" applyBorder="1" applyAlignment="1" applyProtection="1">
      <alignment horizontal="right"/>
      <protection/>
    </xf>
    <xf numFmtId="172" fontId="25" fillId="20" borderId="0" xfId="0" applyNumberFormat="1" applyFont="1" applyFill="1" applyBorder="1" applyAlignment="1" applyProtection="1">
      <alignment/>
      <protection/>
    </xf>
    <xf numFmtId="10" fontId="25" fillId="20" borderId="0" xfId="21" applyNumberFormat="1" applyFont="1" applyFill="1" applyBorder="1" applyAlignment="1" applyProtection="1">
      <alignment horizontal="right"/>
      <protection/>
    </xf>
    <xf numFmtId="0" fontId="47" fillId="4" borderId="58" xfId="15" applyFont="1" applyFill="1" applyBorder="1" applyAlignment="1" applyProtection="1">
      <alignment/>
      <protection/>
    </xf>
    <xf numFmtId="0" fontId="48" fillId="20" borderId="19" xfId="0" applyFont="1" applyFill="1" applyBorder="1" applyAlignment="1">
      <alignment/>
    </xf>
    <xf numFmtId="0" fontId="22" fillId="4" borderId="0" xfId="0" applyFont="1" applyFill="1" applyBorder="1" applyAlignment="1" applyProtection="1">
      <alignment/>
      <protection/>
    </xf>
    <xf numFmtId="0" fontId="20" fillId="3" borderId="0" xfId="0" applyFont="1" applyFill="1" applyBorder="1" applyAlignment="1" applyProtection="1">
      <alignment/>
      <protection locked="0"/>
    </xf>
    <xf numFmtId="0" fontId="20" fillId="4" borderId="0" xfId="0" applyFont="1" applyFill="1" applyBorder="1" applyAlignment="1" applyProtection="1">
      <alignment/>
      <protection locked="0"/>
    </xf>
    <xf numFmtId="0" fontId="20" fillId="6" borderId="0" xfId="0" applyFont="1" applyFill="1" applyBorder="1" applyAlignment="1" applyProtection="1">
      <alignment/>
      <protection locked="0"/>
    </xf>
    <xf numFmtId="0" fontId="22" fillId="6" borderId="0" xfId="0" applyFont="1" applyFill="1" applyBorder="1" applyAlignment="1" applyProtection="1">
      <alignment/>
      <protection/>
    </xf>
    <xf numFmtId="0" fontId="20" fillId="16" borderId="0" xfId="0" applyFont="1" applyFill="1" applyBorder="1" applyAlignment="1" applyProtection="1">
      <alignment/>
      <protection locked="0"/>
    </xf>
    <xf numFmtId="0" fontId="22" fillId="16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right"/>
      <protection/>
    </xf>
    <xf numFmtId="0" fontId="18" fillId="0" borderId="2" xfId="0" applyFont="1" applyBorder="1" applyAlignment="1" applyProtection="1">
      <alignment/>
      <protection/>
    </xf>
    <xf numFmtId="0" fontId="23" fillId="18" borderId="0" xfId="0" applyFont="1" applyFill="1" applyBorder="1" applyAlignment="1" applyProtection="1">
      <alignment horizontal="left"/>
      <protection/>
    </xf>
    <xf numFmtId="0" fontId="23" fillId="4" borderId="59" xfId="0" applyFont="1" applyFill="1" applyBorder="1" applyAlignment="1" applyProtection="1">
      <alignment/>
      <protection/>
    </xf>
    <xf numFmtId="0" fontId="47" fillId="19" borderId="58" xfId="15" applyFont="1" applyFill="1" applyBorder="1" applyAlignment="1" applyProtection="1">
      <alignment/>
      <protection/>
    </xf>
    <xf numFmtId="0" fontId="46" fillId="4" borderId="57" xfId="0" applyFont="1" applyFill="1" applyBorder="1" applyAlignment="1" applyProtection="1">
      <alignment/>
      <protection/>
    </xf>
    <xf numFmtId="0" fontId="46" fillId="19" borderId="50" xfId="0" applyFont="1" applyFill="1" applyBorder="1" applyAlignment="1" applyProtection="1">
      <alignment/>
      <protection/>
    </xf>
    <xf numFmtId="0" fontId="46" fillId="4" borderId="55" xfId="0" applyFont="1" applyFill="1" applyBorder="1" applyAlignment="1" applyProtection="1">
      <alignment/>
      <protection/>
    </xf>
    <xf numFmtId="0" fontId="46" fillId="4" borderId="56" xfId="0" applyFont="1" applyFill="1" applyBorder="1" applyAlignment="1" applyProtection="1">
      <alignment/>
      <protection/>
    </xf>
    <xf numFmtId="0" fontId="47" fillId="19" borderId="50" xfId="15" applyFont="1" applyFill="1" applyBorder="1" applyAlignment="1" applyProtection="1">
      <alignment/>
      <protection/>
    </xf>
    <xf numFmtId="0" fontId="45" fillId="19" borderId="50" xfId="15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67" fillId="21" borderId="60" xfId="0" applyFont="1" applyFill="1" applyBorder="1" applyAlignment="1" applyProtection="1">
      <alignment/>
      <protection/>
    </xf>
    <xf numFmtId="0" fontId="67" fillId="20" borderId="49" xfId="0" applyFont="1" applyFill="1" applyBorder="1" applyAlignment="1" applyProtection="1">
      <alignment/>
      <protection/>
    </xf>
    <xf numFmtId="0" fontId="48" fillId="20" borderId="55" xfId="0" applyFont="1" applyFill="1" applyBorder="1" applyAlignment="1" applyProtection="1">
      <alignment/>
      <protection/>
    </xf>
    <xf numFmtId="0" fontId="67" fillId="21" borderId="50" xfId="0" applyFont="1" applyFill="1" applyBorder="1" applyAlignment="1" applyProtection="1">
      <alignment/>
      <protection/>
    </xf>
    <xf numFmtId="0" fontId="67" fillId="20" borderId="0" xfId="0" applyFont="1" applyFill="1" applyBorder="1" applyAlignment="1" applyProtection="1">
      <alignment/>
      <protection/>
    </xf>
    <xf numFmtId="0" fontId="48" fillId="20" borderId="56" xfId="0" applyFont="1" applyFill="1" applyBorder="1" applyAlignment="1" applyProtection="1">
      <alignment/>
      <protection/>
    </xf>
    <xf numFmtId="0" fontId="68" fillId="21" borderId="50" xfId="15" applyFont="1" applyFill="1" applyBorder="1" applyAlignment="1" applyProtection="1">
      <alignment/>
      <protection/>
    </xf>
    <xf numFmtId="0" fontId="68" fillId="21" borderId="58" xfId="15" applyFont="1" applyFill="1" applyBorder="1" applyAlignment="1" applyProtection="1">
      <alignment/>
      <protection/>
    </xf>
    <xf numFmtId="0" fontId="67" fillId="20" borderId="51" xfId="0" applyFont="1" applyFill="1" applyBorder="1" applyAlignment="1" applyProtection="1">
      <alignment/>
      <protection/>
    </xf>
    <xf numFmtId="0" fontId="67" fillId="20" borderId="57" xfId="0" applyFont="1" applyFill="1" applyBorder="1" applyAlignment="1" applyProtection="1">
      <alignment/>
      <protection/>
    </xf>
    <xf numFmtId="0" fontId="67" fillId="15" borderId="0" xfId="0" applyFont="1" applyFill="1" applyAlignment="1" applyProtection="1">
      <alignment/>
      <protection/>
    </xf>
    <xf numFmtId="2" fontId="0" fillId="20" borderId="0" xfId="0" applyNumberFormat="1" applyFill="1" applyBorder="1" applyAlignment="1" applyProtection="1">
      <alignment/>
      <protection/>
    </xf>
    <xf numFmtId="2" fontId="26" fillId="20" borderId="0" xfId="0" applyNumberFormat="1" applyFont="1" applyFill="1" applyBorder="1" applyAlignment="1" applyProtection="1">
      <alignment horizontal="left"/>
      <protection/>
    </xf>
    <xf numFmtId="0" fontId="0" fillId="20" borderId="0" xfId="0" applyFill="1" applyBorder="1" applyAlignment="1" applyProtection="1">
      <alignment/>
      <protection/>
    </xf>
    <xf numFmtId="0" fontId="0" fillId="20" borderId="0" xfId="0" applyNumberFormat="1" applyFill="1" applyBorder="1" applyAlignment="1" applyProtection="1">
      <alignment/>
      <protection/>
    </xf>
    <xf numFmtId="2" fontId="0" fillId="20" borderId="0" xfId="0" applyNumberFormat="1" applyFill="1" applyBorder="1" applyAlignment="1" applyProtection="1">
      <alignment horizontal="right"/>
      <protection/>
    </xf>
    <xf numFmtId="0" fontId="64" fillId="18" borderId="0" xfId="0" applyFont="1" applyFill="1" applyBorder="1" applyAlignment="1" applyProtection="1">
      <alignment horizontal="left"/>
      <protection/>
    </xf>
    <xf numFmtId="0" fontId="19" fillId="18" borderId="0" xfId="0" applyFont="1" applyFill="1" applyBorder="1" applyAlignment="1" applyProtection="1">
      <alignment horizontal="left"/>
      <protection/>
    </xf>
    <xf numFmtId="0" fontId="1" fillId="18" borderId="0" xfId="0" applyFont="1" applyFill="1" applyAlignment="1" applyProtection="1">
      <alignment horizontal="left"/>
      <protection/>
    </xf>
    <xf numFmtId="1" fontId="0" fillId="0" borderId="0" xfId="0" applyNumberFormat="1" applyFill="1" applyAlignment="1" applyProtection="1">
      <alignment horizontal="left"/>
      <protection/>
    </xf>
    <xf numFmtId="0" fontId="69" fillId="0" borderId="3" xfId="0" applyFont="1" applyBorder="1" applyAlignment="1">
      <alignment horizontal="center" wrapText="1"/>
    </xf>
    <xf numFmtId="0" fontId="69" fillId="0" borderId="39" xfId="0" applyFont="1" applyBorder="1" applyAlignment="1">
      <alignment horizontal="center" wrapText="1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9" fontId="0" fillId="0" borderId="0" xfId="21" applyAlignment="1" applyProtection="1">
      <alignment/>
      <protection/>
    </xf>
    <xf numFmtId="172" fontId="0" fillId="0" borderId="0" xfId="21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" fontId="24" fillId="11" borderId="0" xfId="0" applyNumberFormat="1" applyFont="1" applyFill="1" applyBorder="1" applyAlignment="1" applyProtection="1">
      <alignment horizontal="center"/>
      <protection/>
    </xf>
    <xf numFmtId="9" fontId="22" fillId="5" borderId="61" xfId="0" applyNumberFormat="1" applyFont="1" applyFill="1" applyBorder="1" applyAlignment="1" applyProtection="1">
      <alignment/>
      <protection locked="0"/>
    </xf>
    <xf numFmtId="0" fontId="70" fillId="8" borderId="17" xfId="0" applyFont="1" applyFill="1" applyBorder="1" applyAlignment="1" applyProtection="1">
      <alignment/>
      <protection locked="0"/>
    </xf>
    <xf numFmtId="0" fontId="71" fillId="8" borderId="10" xfId="0" applyFont="1" applyFill="1" applyBorder="1" applyAlignment="1" applyProtection="1">
      <alignment/>
      <protection/>
    </xf>
    <xf numFmtId="0" fontId="5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2" borderId="0" xfId="0" applyFont="1" applyFill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/>
      <protection/>
    </xf>
    <xf numFmtId="172" fontId="3" fillId="0" borderId="0" xfId="21" applyNumberFormat="1" applyFont="1" applyBorder="1" applyAlignment="1" applyProtection="1">
      <alignment horizontal="center"/>
      <protection/>
    </xf>
    <xf numFmtId="172" fontId="2" fillId="5" borderId="11" xfId="0" applyNumberFormat="1" applyFont="1" applyFill="1" applyBorder="1" applyAlignment="1" applyProtection="1">
      <alignment/>
      <protection/>
    </xf>
    <xf numFmtId="2" fontId="3" fillId="5" borderId="12" xfId="0" applyNumberFormat="1" applyFont="1" applyFill="1" applyBorder="1" applyAlignment="1" applyProtection="1">
      <alignment horizontal="center"/>
      <protection/>
    </xf>
    <xf numFmtId="172" fontId="2" fillId="5" borderId="15" xfId="0" applyNumberFormat="1" applyFont="1" applyFill="1" applyBorder="1" applyAlignment="1" applyProtection="1">
      <alignment/>
      <protection/>
    </xf>
    <xf numFmtId="172" fontId="3" fillId="5" borderId="16" xfId="21" applyNumberFormat="1" applyFont="1" applyFill="1" applyBorder="1" applyAlignment="1" applyProtection="1">
      <alignment horizontal="center"/>
      <protection/>
    </xf>
    <xf numFmtId="172" fontId="2" fillId="2" borderId="11" xfId="0" applyNumberFormat="1" applyFont="1" applyFill="1" applyBorder="1" applyAlignment="1" applyProtection="1">
      <alignment/>
      <protection/>
    </xf>
    <xf numFmtId="2" fontId="3" fillId="2" borderId="12" xfId="0" applyNumberFormat="1" applyFont="1" applyFill="1" applyBorder="1" applyAlignment="1" applyProtection="1">
      <alignment horizontal="center"/>
      <protection/>
    </xf>
    <xf numFmtId="172" fontId="2" fillId="2" borderId="15" xfId="0" applyNumberFormat="1" applyFont="1" applyFill="1" applyBorder="1" applyAlignment="1" applyProtection="1">
      <alignment/>
      <protection/>
    </xf>
    <xf numFmtId="172" fontId="3" fillId="2" borderId="16" xfId="21" applyNumberFormat="1" applyFont="1" applyFill="1" applyBorder="1" applyAlignment="1" applyProtection="1">
      <alignment horizontal="center"/>
      <protection/>
    </xf>
    <xf numFmtId="0" fontId="72" fillId="15" borderId="0" xfId="0" applyFont="1" applyFill="1" applyAlignment="1">
      <alignment/>
    </xf>
    <xf numFmtId="0" fontId="73" fillId="15" borderId="0" xfId="0" applyFont="1" applyFill="1" applyAlignment="1">
      <alignment/>
    </xf>
    <xf numFmtId="0" fontId="74" fillId="22" borderId="17" xfId="0" applyFont="1" applyFill="1" applyBorder="1" applyAlignment="1">
      <alignment/>
    </xf>
    <xf numFmtId="0" fontId="74" fillId="22" borderId="10" xfId="0" applyFont="1" applyFill="1" applyBorder="1" applyAlignment="1">
      <alignment/>
    </xf>
    <xf numFmtId="0" fontId="44" fillId="18" borderId="0" xfId="0" applyFont="1" applyFill="1" applyAlignment="1" applyProtection="1">
      <alignment/>
      <protection/>
    </xf>
    <xf numFmtId="0" fontId="0" fillId="18" borderId="0" xfId="0" applyFill="1" applyAlignment="1">
      <alignment/>
    </xf>
    <xf numFmtId="0" fontId="75" fillId="15" borderId="0" xfId="0" applyFont="1" applyFill="1" applyAlignment="1">
      <alignment/>
    </xf>
    <xf numFmtId="9" fontId="24" fillId="15" borderId="0" xfId="21" applyFont="1" applyFill="1" applyBorder="1" applyAlignment="1" applyProtection="1">
      <alignment/>
      <protection/>
    </xf>
    <xf numFmtId="0" fontId="24" fillId="15" borderId="0" xfId="0" applyFont="1" applyFill="1" applyBorder="1" applyAlignment="1" applyProtection="1">
      <alignment/>
      <protection/>
    </xf>
    <xf numFmtId="0" fontId="14" fillId="15" borderId="0" xfId="0" applyFont="1" applyFill="1" applyBorder="1" applyAlignment="1">
      <alignment horizontal="center"/>
    </xf>
    <xf numFmtId="0" fontId="2" fillId="15" borderId="0" xfId="0" applyFont="1" applyFill="1" applyAlignment="1" applyProtection="1">
      <alignment/>
      <protection/>
    </xf>
    <xf numFmtId="0" fontId="0" fillId="15" borderId="0" xfId="0" applyFill="1" applyBorder="1" applyAlignment="1" applyProtection="1">
      <alignment/>
      <protection/>
    </xf>
    <xf numFmtId="0" fontId="3" fillId="15" borderId="0" xfId="0" applyFont="1" applyFill="1" applyBorder="1" applyAlignment="1" applyProtection="1">
      <alignment/>
      <protection/>
    </xf>
    <xf numFmtId="0" fontId="76" fillId="15" borderId="0" xfId="0" applyFont="1" applyFill="1" applyAlignment="1">
      <alignment/>
    </xf>
    <xf numFmtId="0" fontId="67" fillId="15" borderId="0" xfId="0" applyFont="1" applyFill="1" applyAlignment="1">
      <alignment/>
    </xf>
    <xf numFmtId="9" fontId="8" fillId="22" borderId="18" xfId="0" applyNumberFormat="1" applyFont="1" applyFill="1" applyBorder="1" applyAlignment="1" applyProtection="1">
      <alignment/>
      <protection locked="0"/>
    </xf>
    <xf numFmtId="9" fontId="15" fillId="8" borderId="3" xfId="0" applyNumberFormat="1" applyFont="1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255</xdr:col>
      <xdr:colOff>571500</xdr:colOff>
      <xdr:row>1</xdr:row>
      <xdr:rowOff>0</xdr:rowOff>
    </xdr:to>
    <xdr:sp>
      <xdr:nvSpPr>
        <xdr:cNvPr id="1" name="Rectangle 501"/>
        <xdr:cNvSpPr>
          <a:spLocks/>
        </xdr:cNvSpPr>
      </xdr:nvSpPr>
      <xdr:spPr>
        <a:xfrm>
          <a:off x="0" y="0"/>
          <a:ext cx="1970341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&#237;ctor\Configuraci&#243;n%20local\Archivos%20temporales%20de%20Internet\Content.IE5\FGZ6KQKF\simulad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 24 feb 06"/>
      <sheetName val="Jubil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" TargetMode="External" /><Relationship Id="rId2" Type="http://schemas.openxmlformats.org/officeDocument/2006/relationships/hyperlink" Target="." TargetMode="External" /><Relationship Id="rId3" Type="http://schemas.openxmlformats.org/officeDocument/2006/relationships/hyperlink" Target="mailto:victorhutt@victorhutt.com.ar" TargetMode="External" /><Relationship Id="rId4" Type="http://schemas.openxmlformats.org/officeDocument/2006/relationships/hyperlink" Target="mailto:victorhutt@victorhutt.com.ar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" TargetMode="External" /><Relationship Id="rId2" Type="http://schemas.openxmlformats.org/officeDocument/2006/relationships/hyperlink" Target="mailto:victorhutt@victorhutt.com.ar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U250"/>
  <sheetViews>
    <sheetView showGridLines="0" tabSelected="1" zoomScale="70" zoomScaleNormal="70" workbookViewId="0" topLeftCell="A1">
      <selection activeCell="A1" sqref="A1"/>
    </sheetView>
  </sheetViews>
  <sheetFormatPr defaultColWidth="11.421875" defaultRowHeight="12.75"/>
  <cols>
    <col min="1" max="1" width="13.7109375" style="10" customWidth="1"/>
    <col min="2" max="2" width="14.140625" style="10" customWidth="1"/>
    <col min="3" max="3" width="17.57421875" style="10" customWidth="1"/>
    <col min="4" max="4" width="23.57421875" style="10" customWidth="1"/>
    <col min="5" max="5" width="15.28125" style="10" customWidth="1"/>
    <col min="6" max="6" width="21.140625" style="10" customWidth="1"/>
    <col min="7" max="7" width="16.57421875" style="10" customWidth="1"/>
    <col min="8" max="8" width="23.57421875" style="10" customWidth="1"/>
    <col min="9" max="9" width="12.7109375" style="10" customWidth="1"/>
    <col min="10" max="10" width="22.8515625" style="10" customWidth="1"/>
    <col min="11" max="11" width="14.7109375" style="10" customWidth="1"/>
    <col min="12" max="12" width="21.00390625" style="10" customWidth="1"/>
    <col min="13" max="13" width="20.140625" style="10" customWidth="1"/>
    <col min="14" max="14" width="20.00390625" style="10" customWidth="1"/>
    <col min="15" max="15" width="21.57421875" style="10" customWidth="1"/>
    <col min="16" max="16" width="16.7109375" style="10" customWidth="1"/>
    <col min="17" max="17" width="15.8515625" style="10" customWidth="1"/>
    <col min="18" max="18" width="11.421875" style="10" customWidth="1"/>
    <col min="19" max="19" width="13.57421875" style="10" customWidth="1"/>
    <col min="20" max="20" width="11.421875" style="10" customWidth="1"/>
    <col min="21" max="21" width="16.00390625" style="10" bestFit="1" customWidth="1"/>
    <col min="22" max="24" width="11.421875" style="10" customWidth="1"/>
    <col min="25" max="25" width="13.28125" style="10" customWidth="1"/>
    <col min="26" max="16384" width="11.421875" style="10" customWidth="1"/>
  </cols>
  <sheetData>
    <row r="1" spans="1:7" ht="12.75">
      <c r="A1" s="348"/>
      <c r="B1" s="186"/>
      <c r="C1" s="186"/>
      <c r="D1" s="186"/>
      <c r="E1" s="186"/>
      <c r="F1" s="186"/>
      <c r="G1" s="186"/>
    </row>
    <row r="2" spans="1:11" ht="20.25">
      <c r="A2" s="2"/>
      <c r="B2" s="343"/>
      <c r="C2" s="401" t="s">
        <v>461</v>
      </c>
      <c r="D2" s="375"/>
      <c r="E2" s="375"/>
      <c r="F2" s="375"/>
      <c r="G2" s="403"/>
      <c r="H2" s="3"/>
      <c r="I2" s="4"/>
      <c r="J2" s="1"/>
      <c r="K2" s="2"/>
    </row>
    <row r="3" spans="1:11" ht="20.25">
      <c r="A3" s="2"/>
      <c r="B3" s="343"/>
      <c r="C3" s="401" t="s">
        <v>412</v>
      </c>
      <c r="D3" s="375"/>
      <c r="E3" s="375"/>
      <c r="F3" s="375"/>
      <c r="G3" s="344"/>
      <c r="H3" s="3"/>
      <c r="I3" s="4"/>
      <c r="J3" s="1"/>
      <c r="K3" s="2"/>
    </row>
    <row r="4" spans="1:11" ht="20.25">
      <c r="A4" s="2"/>
      <c r="B4" s="343"/>
      <c r="C4" s="402" t="s">
        <v>462</v>
      </c>
      <c r="D4" s="375"/>
      <c r="E4" s="375"/>
      <c r="F4" s="375"/>
      <c r="G4" s="344"/>
      <c r="H4" s="3"/>
      <c r="I4" s="4"/>
      <c r="J4" s="1"/>
      <c r="K4" s="2"/>
    </row>
    <row r="5" spans="1:11" ht="15">
      <c r="A5" s="2"/>
      <c r="B5" s="396"/>
      <c r="C5" s="397"/>
      <c r="D5" s="398"/>
      <c r="E5" s="399"/>
      <c r="F5" s="398"/>
      <c r="G5" s="400"/>
      <c r="H5" s="6"/>
      <c r="I5" s="4"/>
      <c r="J5" s="2"/>
      <c r="K5" s="2"/>
    </row>
    <row r="6" spans="1:11" ht="13.5" thickBot="1">
      <c r="A6" s="2"/>
      <c r="B6" s="1"/>
      <c r="C6" s="1"/>
      <c r="D6" s="2"/>
      <c r="E6" s="1"/>
      <c r="F6" s="2"/>
      <c r="G6" s="5"/>
      <c r="H6" s="1"/>
      <c r="I6" s="4"/>
      <c r="J6" s="1"/>
      <c r="K6" s="2"/>
    </row>
    <row r="7" spans="1:11" ht="18.75" thickBot="1">
      <c r="A7" s="2"/>
      <c r="B7" s="5"/>
      <c r="C7" s="51" t="s">
        <v>0</v>
      </c>
      <c r="D7" s="50" t="s">
        <v>1</v>
      </c>
      <c r="E7" s="52"/>
      <c r="F7" s="51" t="s">
        <v>0</v>
      </c>
      <c r="G7" s="46"/>
      <c r="H7" s="7"/>
      <c r="I7" s="4"/>
      <c r="J7" s="7"/>
      <c r="K7" s="2"/>
    </row>
    <row r="8" spans="1:11" ht="18">
      <c r="A8" s="2"/>
      <c r="B8" s="2"/>
      <c r="C8" s="2"/>
      <c r="D8" s="53" t="s">
        <v>351</v>
      </c>
      <c r="E8" s="54"/>
      <c r="F8" s="45"/>
      <c r="G8" s="45"/>
      <c r="H8" s="1"/>
      <c r="I8" s="2"/>
      <c r="J8" s="1"/>
      <c r="K8" s="2"/>
    </row>
    <row r="9" spans="1:11" ht="18">
      <c r="A9" s="2"/>
      <c r="B9" s="2"/>
      <c r="C9" s="2"/>
      <c r="D9" s="53" t="s">
        <v>2</v>
      </c>
      <c r="E9" s="54"/>
      <c r="F9" s="45"/>
      <c r="G9" s="45"/>
      <c r="H9" s="1"/>
      <c r="I9" s="2"/>
      <c r="J9" s="1"/>
      <c r="K9" s="2"/>
    </row>
    <row r="10" spans="1:11" ht="18.75" thickBot="1">
      <c r="A10" s="2"/>
      <c r="B10" s="1"/>
      <c r="C10" s="4"/>
      <c r="D10" s="53" t="s">
        <v>3</v>
      </c>
      <c r="E10" s="54"/>
      <c r="F10" s="45"/>
      <c r="G10" s="47"/>
      <c r="H10" s="8"/>
      <c r="I10" s="4"/>
      <c r="J10" s="7"/>
      <c r="K10" s="2"/>
    </row>
    <row r="11" spans="1:11" ht="18.75" thickBot="1">
      <c r="A11" s="2"/>
      <c r="B11" s="1"/>
      <c r="C11" s="51" t="s">
        <v>0</v>
      </c>
      <c r="D11" s="55" t="s">
        <v>362</v>
      </c>
      <c r="E11" s="56"/>
      <c r="F11" s="51" t="s">
        <v>0</v>
      </c>
      <c r="G11" s="13"/>
      <c r="H11" s="8"/>
      <c r="I11" s="4"/>
      <c r="J11" s="7"/>
      <c r="K11" s="2"/>
    </row>
    <row r="12" spans="1:11" ht="15.75">
      <c r="A12" s="2"/>
      <c r="B12" s="1"/>
      <c r="C12" s="1"/>
      <c r="D12" s="4"/>
      <c r="E12" s="57"/>
      <c r="F12" s="2"/>
      <c r="G12" s="1"/>
      <c r="H12" s="8"/>
      <c r="I12" s="4"/>
      <c r="J12" s="7"/>
      <c r="K12" s="2"/>
    </row>
    <row r="13" spans="1:11" ht="12.75">
      <c r="A13" s="2"/>
      <c r="B13" s="2"/>
      <c r="C13" s="2"/>
      <c r="D13" s="2"/>
      <c r="E13" s="2"/>
      <c r="F13" s="2"/>
      <c r="G13" s="9"/>
      <c r="H13" s="1"/>
      <c r="I13" s="9"/>
      <c r="J13" s="2"/>
      <c r="K13" s="2"/>
    </row>
    <row r="14" spans="1:7" s="11" customFormat="1" ht="13.5" thickBot="1">
      <c r="A14" s="58"/>
      <c r="B14" s="58"/>
      <c r="C14" s="58"/>
      <c r="D14" s="59"/>
      <c r="E14" s="60"/>
      <c r="F14" s="10"/>
      <c r="G14" s="10"/>
    </row>
    <row r="15" spans="1:255" s="11" customFormat="1" ht="24.75" thickBot="1" thickTop="1">
      <c r="A15" s="61" t="s">
        <v>4</v>
      </c>
      <c r="B15" s="62"/>
      <c r="C15" s="63" t="s">
        <v>5</v>
      </c>
      <c r="D15" s="64" t="s">
        <v>5</v>
      </c>
      <c r="E15" s="65" t="s">
        <v>5</v>
      </c>
      <c r="F15" s="10"/>
      <c r="G15" s="10"/>
      <c r="I15" s="66"/>
      <c r="K15" s="67"/>
      <c r="L15" s="68"/>
      <c r="M15" s="69"/>
      <c r="Q15" s="66"/>
      <c r="S15" s="67"/>
      <c r="T15" s="67"/>
      <c r="U15" s="67"/>
      <c r="V15" s="67"/>
      <c r="W15" s="67"/>
      <c r="X15" s="68"/>
      <c r="Y15" s="69"/>
      <c r="AC15" s="66"/>
      <c r="AE15" s="67"/>
      <c r="AF15" s="68"/>
      <c r="AG15" s="69"/>
      <c r="AK15" s="66"/>
      <c r="AM15" s="67"/>
      <c r="AN15" s="68"/>
      <c r="AO15" s="69"/>
      <c r="AS15" s="66"/>
      <c r="AU15" s="67"/>
      <c r="AV15" s="68"/>
      <c r="AW15" s="69"/>
      <c r="BA15" s="66"/>
      <c r="BC15" s="67"/>
      <c r="BD15" s="68"/>
      <c r="BE15" s="69"/>
      <c r="BI15" s="66"/>
      <c r="BK15" s="67"/>
      <c r="BL15" s="68"/>
      <c r="BM15" s="69"/>
      <c r="BQ15" s="66"/>
      <c r="BS15" s="67"/>
      <c r="BT15" s="68"/>
      <c r="BU15" s="69"/>
      <c r="BY15" s="66"/>
      <c r="CA15" s="67"/>
      <c r="CB15" s="68"/>
      <c r="CC15" s="69"/>
      <c r="CG15" s="66"/>
      <c r="CI15" s="67"/>
      <c r="CJ15" s="68"/>
      <c r="CK15" s="69"/>
      <c r="CO15" s="66"/>
      <c r="CQ15" s="67"/>
      <c r="CR15" s="68"/>
      <c r="CS15" s="69"/>
      <c r="CW15" s="66"/>
      <c r="CY15" s="67"/>
      <c r="CZ15" s="68"/>
      <c r="DA15" s="69"/>
      <c r="DE15" s="66"/>
      <c r="DG15" s="67"/>
      <c r="DH15" s="68"/>
      <c r="DI15" s="69"/>
      <c r="DM15" s="66"/>
      <c r="DO15" s="67"/>
      <c r="DP15" s="68"/>
      <c r="DQ15" s="69"/>
      <c r="DU15" s="66"/>
      <c r="DW15" s="67"/>
      <c r="DX15" s="68"/>
      <c r="DY15" s="69"/>
      <c r="EC15" s="66"/>
      <c r="EE15" s="67"/>
      <c r="EF15" s="68"/>
      <c r="EG15" s="69"/>
      <c r="EK15" s="66"/>
      <c r="EM15" s="67"/>
      <c r="EN15" s="68"/>
      <c r="EO15" s="69"/>
      <c r="ES15" s="66"/>
      <c r="EU15" s="67"/>
      <c r="EV15" s="68"/>
      <c r="EW15" s="69"/>
      <c r="FA15" s="66"/>
      <c r="FC15" s="67"/>
      <c r="FD15" s="68"/>
      <c r="FE15" s="69"/>
      <c r="FI15" s="66"/>
      <c r="FK15" s="67"/>
      <c r="FL15" s="68"/>
      <c r="FM15" s="69"/>
      <c r="FQ15" s="66"/>
      <c r="FS15" s="67"/>
      <c r="FT15" s="68"/>
      <c r="FU15" s="69"/>
      <c r="FY15" s="66"/>
      <c r="GA15" s="67"/>
      <c r="GB15" s="68"/>
      <c r="GC15" s="69"/>
      <c r="GG15" s="66"/>
      <c r="GI15" s="67"/>
      <c r="GJ15" s="68"/>
      <c r="GK15" s="69"/>
      <c r="GO15" s="66"/>
      <c r="GQ15" s="67"/>
      <c r="GR15" s="68"/>
      <c r="GS15" s="69"/>
      <c r="GW15" s="66"/>
      <c r="GY15" s="67"/>
      <c r="GZ15" s="68"/>
      <c r="HA15" s="69"/>
      <c r="HE15" s="66"/>
      <c r="HG15" s="67"/>
      <c r="HH15" s="68"/>
      <c r="HI15" s="69"/>
      <c r="HM15" s="66"/>
      <c r="HO15" s="67"/>
      <c r="HP15" s="68"/>
      <c r="HQ15" s="69"/>
      <c r="HU15" s="66"/>
      <c r="HW15" s="67"/>
      <c r="HX15" s="68"/>
      <c r="HY15" s="69"/>
      <c r="IC15" s="66"/>
      <c r="IE15" s="67"/>
      <c r="IF15" s="68"/>
      <c r="IG15" s="69"/>
      <c r="IK15" s="66"/>
      <c r="IM15" s="67"/>
      <c r="IN15" s="68"/>
      <c r="IO15" s="69"/>
      <c r="IS15" s="66"/>
      <c r="IU15" s="67"/>
    </row>
    <row r="16" spans="1:253" s="11" customFormat="1" ht="20.25">
      <c r="A16" s="70"/>
      <c r="B16" s="71"/>
      <c r="C16" s="71"/>
      <c r="D16" s="59"/>
      <c r="E16" s="60"/>
      <c r="F16" s="10"/>
      <c r="G16" s="10"/>
      <c r="I16" s="72"/>
      <c r="Q16" s="72"/>
      <c r="AC16" s="72"/>
      <c r="AK16" s="72"/>
      <c r="AS16" s="72"/>
      <c r="BA16" s="72"/>
      <c r="BI16" s="72"/>
      <c r="BQ16" s="72"/>
      <c r="BY16" s="72"/>
      <c r="CG16" s="72"/>
      <c r="CO16" s="72"/>
      <c r="CW16" s="72"/>
      <c r="DE16" s="72"/>
      <c r="DM16" s="72"/>
      <c r="DU16" s="72"/>
      <c r="EC16" s="72"/>
      <c r="EK16" s="72"/>
      <c r="ES16" s="72"/>
      <c r="FA16" s="72"/>
      <c r="FI16" s="72"/>
      <c r="FQ16" s="72"/>
      <c r="FY16" s="72"/>
      <c r="GG16" s="72"/>
      <c r="GO16" s="72"/>
      <c r="GW16" s="72"/>
      <c r="HE16" s="72"/>
      <c r="HM16" s="72"/>
      <c r="HU16" s="72"/>
      <c r="IC16" s="72"/>
      <c r="IK16" s="72"/>
      <c r="IS16" s="72"/>
    </row>
    <row r="17" spans="1:253" s="11" customFormat="1" ht="15">
      <c r="A17" s="73"/>
      <c r="B17" s="74"/>
      <c r="C17" s="74"/>
      <c r="D17" s="74"/>
      <c r="E17" s="74"/>
      <c r="F17" s="74"/>
      <c r="G17" s="74"/>
      <c r="I17" s="75"/>
      <c r="Q17" s="75"/>
      <c r="AC17" s="75"/>
      <c r="AK17" s="75"/>
      <c r="AS17" s="75"/>
      <c r="BA17" s="75"/>
      <c r="BI17" s="75"/>
      <c r="BQ17" s="75"/>
      <c r="BY17" s="75"/>
      <c r="CG17" s="75"/>
      <c r="CO17" s="75"/>
      <c r="CW17" s="75"/>
      <c r="DE17" s="75"/>
      <c r="DM17" s="75"/>
      <c r="DU17" s="75"/>
      <c r="EC17" s="75"/>
      <c r="EK17" s="75"/>
      <c r="ES17" s="75"/>
      <c r="FA17" s="75"/>
      <c r="FI17" s="75"/>
      <c r="FQ17" s="75"/>
      <c r="FY17" s="75"/>
      <c r="GG17" s="75"/>
      <c r="GO17" s="75"/>
      <c r="GW17" s="75"/>
      <c r="HE17" s="75"/>
      <c r="HM17" s="75"/>
      <c r="HU17" s="75"/>
      <c r="IC17" s="75"/>
      <c r="IK17" s="75"/>
      <c r="IS17" s="75"/>
    </row>
    <row r="18" spans="1:7" s="11" customFormat="1" ht="15">
      <c r="A18" s="76" t="s">
        <v>6</v>
      </c>
      <c r="B18" s="74"/>
      <c r="C18" s="74"/>
      <c r="D18" s="74"/>
      <c r="E18" s="74"/>
      <c r="F18" s="74"/>
      <c r="G18" s="74"/>
    </row>
    <row r="19" spans="1:7" s="11" customFormat="1" ht="14.25">
      <c r="A19" s="76"/>
      <c r="B19" s="74"/>
      <c r="C19" s="74"/>
      <c r="D19" s="74"/>
      <c r="E19" s="74"/>
      <c r="F19" s="74"/>
      <c r="G19" s="74"/>
    </row>
    <row r="20" spans="1:7" s="11" customFormat="1" ht="15">
      <c r="A20" s="76" t="s">
        <v>7</v>
      </c>
      <c r="B20" s="74"/>
      <c r="C20" s="74"/>
      <c r="D20" s="74"/>
      <c r="E20" s="74"/>
      <c r="F20" s="74"/>
      <c r="G20" s="74"/>
    </row>
    <row r="21" spans="1:7" s="11" customFormat="1" ht="14.25">
      <c r="A21" s="76"/>
      <c r="B21" s="74"/>
      <c r="C21" s="74"/>
      <c r="D21" s="74"/>
      <c r="E21" s="74"/>
      <c r="F21" s="74"/>
      <c r="G21" s="74"/>
    </row>
    <row r="22" spans="1:7" s="11" customFormat="1" ht="14.25">
      <c r="A22" s="76" t="s">
        <v>368</v>
      </c>
      <c r="B22" s="74"/>
      <c r="C22" s="74"/>
      <c r="D22" s="74"/>
      <c r="E22" s="74"/>
      <c r="F22" s="74"/>
      <c r="G22" s="74"/>
    </row>
    <row r="23" spans="1:7" s="11" customFormat="1" ht="14.25">
      <c r="A23" s="76" t="s">
        <v>367</v>
      </c>
      <c r="B23" s="74"/>
      <c r="C23" s="74"/>
      <c r="D23" s="74"/>
      <c r="E23" s="74"/>
      <c r="F23" s="74"/>
      <c r="G23" s="74"/>
    </row>
    <row r="24" spans="1:7" s="11" customFormat="1" ht="14.25">
      <c r="A24" s="76"/>
      <c r="B24" s="74"/>
      <c r="C24" s="74"/>
      <c r="D24" s="74"/>
      <c r="E24" s="74"/>
      <c r="F24" s="74"/>
      <c r="G24" s="74"/>
    </row>
    <row r="25" spans="1:7" s="11" customFormat="1" ht="14.25">
      <c r="A25" s="76" t="s">
        <v>352</v>
      </c>
      <c r="B25" s="74"/>
      <c r="C25" s="74"/>
      <c r="D25" s="74"/>
      <c r="E25" s="74"/>
      <c r="F25" s="74"/>
      <c r="G25" s="74"/>
    </row>
    <row r="26" spans="1:7" s="11" customFormat="1" ht="14.25">
      <c r="A26" s="76" t="s">
        <v>353</v>
      </c>
      <c r="B26" s="74"/>
      <c r="C26" s="74"/>
      <c r="D26" s="74"/>
      <c r="E26" s="74"/>
      <c r="F26" s="74"/>
      <c r="G26" s="74"/>
    </row>
    <row r="27" spans="1:7" s="11" customFormat="1" ht="14.25">
      <c r="A27" s="76"/>
      <c r="B27" s="74"/>
      <c r="C27" s="74"/>
      <c r="D27" s="74"/>
      <c r="E27" s="74"/>
      <c r="F27" s="74"/>
      <c r="G27" s="74"/>
    </row>
    <row r="28" spans="1:7" s="11" customFormat="1" ht="14.25">
      <c r="A28" s="76" t="s">
        <v>354</v>
      </c>
      <c r="B28" s="74"/>
      <c r="C28" s="74"/>
      <c r="D28" s="74"/>
      <c r="E28" s="74"/>
      <c r="F28" s="74"/>
      <c r="G28" s="74"/>
    </row>
    <row r="29" spans="1:7" s="11" customFormat="1" ht="14.25">
      <c r="A29" s="76" t="s">
        <v>355</v>
      </c>
      <c r="B29" s="74"/>
      <c r="C29" s="74"/>
      <c r="D29" s="74"/>
      <c r="E29" s="74"/>
      <c r="F29" s="74"/>
      <c r="G29" s="74"/>
    </row>
    <row r="30" spans="1:7" s="11" customFormat="1" ht="14.25">
      <c r="A30" s="76" t="s">
        <v>356</v>
      </c>
      <c r="B30" s="74"/>
      <c r="C30" s="74"/>
      <c r="D30" s="74"/>
      <c r="F30" s="74"/>
      <c r="G30" s="74"/>
    </row>
    <row r="31" spans="1:7" s="11" customFormat="1" ht="15.75">
      <c r="A31" s="76"/>
      <c r="B31" s="77" t="s">
        <v>357</v>
      </c>
      <c r="C31" s="74"/>
      <c r="D31" s="74"/>
      <c r="E31" s="77"/>
      <c r="F31" s="74"/>
      <c r="G31" s="74"/>
    </row>
    <row r="32" spans="1:7" s="11" customFormat="1" ht="15.75">
      <c r="A32" s="76"/>
      <c r="B32" s="77"/>
      <c r="C32" s="74"/>
      <c r="D32" s="74"/>
      <c r="E32" s="77"/>
      <c r="F32" s="74"/>
      <c r="G32" s="74"/>
    </row>
    <row r="33" spans="1:7" s="11" customFormat="1" ht="15.75">
      <c r="A33" s="76" t="s">
        <v>359</v>
      </c>
      <c r="B33" s="77"/>
      <c r="C33" s="74"/>
      <c r="D33" s="74"/>
      <c r="E33" s="77"/>
      <c r="F33" s="74"/>
      <c r="G33" s="74"/>
    </row>
    <row r="34" spans="1:7" s="11" customFormat="1" ht="15.75">
      <c r="A34" s="76" t="s">
        <v>413</v>
      </c>
      <c r="B34" s="77"/>
      <c r="C34" s="74"/>
      <c r="D34" s="74"/>
      <c r="E34" s="77"/>
      <c r="F34" s="74"/>
      <c r="G34" s="74"/>
    </row>
    <row r="35" spans="1:7" s="11" customFormat="1" ht="16.5" thickBot="1">
      <c r="A35" s="76" t="s">
        <v>414</v>
      </c>
      <c r="B35" s="77"/>
      <c r="C35" s="74"/>
      <c r="D35" s="74"/>
      <c r="E35" s="77"/>
      <c r="F35" s="74"/>
      <c r="G35" s="74"/>
    </row>
    <row r="36" spans="1:7" s="11" customFormat="1" ht="16.5" thickBot="1">
      <c r="A36" s="349" t="s">
        <v>358</v>
      </c>
      <c r="B36" s="350"/>
      <c r="C36" s="351"/>
      <c r="D36" s="352"/>
      <c r="E36" s="77"/>
      <c r="F36" s="74"/>
      <c r="G36" s="74"/>
    </row>
    <row r="37" spans="1:6" s="11" customFormat="1" ht="15.75">
      <c r="A37" s="76" t="s">
        <v>415</v>
      </c>
      <c r="B37" s="77"/>
      <c r="C37" s="74"/>
      <c r="D37" s="74"/>
      <c r="E37" s="77"/>
      <c r="F37" s="74"/>
    </row>
    <row r="38" spans="1:7" s="11" customFormat="1" ht="15.75">
      <c r="A38" s="76"/>
      <c r="B38" s="77"/>
      <c r="C38" s="74"/>
      <c r="D38" s="74"/>
      <c r="E38" s="77"/>
      <c r="F38" s="74"/>
      <c r="G38" s="74"/>
    </row>
    <row r="39" spans="1:7" s="11" customFormat="1" ht="14.25">
      <c r="A39" s="76" t="s">
        <v>8</v>
      </c>
      <c r="B39" s="74"/>
      <c r="C39" s="74"/>
      <c r="D39" s="74"/>
      <c r="E39" s="74"/>
      <c r="F39" s="74"/>
      <c r="G39" s="74"/>
    </row>
    <row r="40" spans="1:7" s="11" customFormat="1" ht="14.25">
      <c r="A40" s="76" t="s">
        <v>9</v>
      </c>
      <c r="B40" s="74"/>
      <c r="C40" s="74"/>
      <c r="D40" s="74"/>
      <c r="E40" s="74"/>
      <c r="F40" s="74"/>
      <c r="G40" s="74"/>
    </row>
    <row r="41" spans="1:7" s="11" customFormat="1" ht="14.25">
      <c r="A41" s="76" t="s">
        <v>10</v>
      </c>
      <c r="B41" s="74"/>
      <c r="C41" s="74"/>
      <c r="D41" s="74"/>
      <c r="E41" s="74"/>
      <c r="F41" s="74"/>
      <c r="G41" s="74"/>
    </row>
    <row r="42" spans="1:7" s="11" customFormat="1" ht="14.25">
      <c r="A42" s="76"/>
      <c r="B42" s="74"/>
      <c r="C42" s="74"/>
      <c r="D42" s="74"/>
      <c r="E42" s="74"/>
      <c r="F42" s="74"/>
      <c r="G42" s="74"/>
    </row>
    <row r="43" spans="1:7" s="11" customFormat="1" ht="14.25">
      <c r="A43" s="76" t="s">
        <v>463</v>
      </c>
      <c r="B43" s="74"/>
      <c r="C43" s="74"/>
      <c r="D43" s="74"/>
      <c r="E43" s="74"/>
      <c r="F43" s="74"/>
      <c r="G43" s="74"/>
    </row>
    <row r="44" spans="1:7" s="11" customFormat="1" ht="15">
      <c r="A44" s="73" t="s">
        <v>464</v>
      </c>
      <c r="B44" s="74"/>
      <c r="C44" s="74"/>
      <c r="D44" s="74"/>
      <c r="E44" s="74"/>
      <c r="F44" s="74"/>
      <c r="G44" s="74"/>
    </row>
    <row r="45" spans="1:7" s="11" customFormat="1" ht="14.25">
      <c r="A45" s="76"/>
      <c r="B45" s="74"/>
      <c r="C45" s="74"/>
      <c r="D45" s="74"/>
      <c r="E45" s="74"/>
      <c r="F45" s="74"/>
      <c r="G45" s="74"/>
    </row>
    <row r="46" spans="1:7" s="11" customFormat="1" ht="14.25">
      <c r="A46" s="76" t="s">
        <v>380</v>
      </c>
      <c r="B46" s="74"/>
      <c r="C46" s="74"/>
      <c r="D46" s="74"/>
      <c r="E46" s="74"/>
      <c r="F46" s="74"/>
      <c r="G46" s="74"/>
    </row>
    <row r="47" spans="1:7" s="11" customFormat="1" ht="14.25">
      <c r="A47" s="76"/>
      <c r="B47" s="74"/>
      <c r="C47" s="74"/>
      <c r="D47" s="74"/>
      <c r="E47" s="74"/>
      <c r="F47" s="74"/>
      <c r="G47" s="74"/>
    </row>
    <row r="48" spans="1:7" s="11" customFormat="1" ht="12.75">
      <c r="A48" s="74"/>
      <c r="B48" s="74"/>
      <c r="C48" s="74"/>
      <c r="D48" s="74"/>
      <c r="E48" s="74"/>
      <c r="F48" s="74"/>
      <c r="G48" s="74"/>
    </row>
    <row r="49" s="11" customFormat="1" ht="13.5" hidden="1" thickBot="1"/>
    <row r="50" spans="1:11" s="11" customFormat="1" ht="16.5" hidden="1" thickBot="1">
      <c r="A50" s="138" t="s">
        <v>408</v>
      </c>
      <c r="B50" s="139">
        <v>0.7012</v>
      </c>
      <c r="D50" s="138" t="s">
        <v>420</v>
      </c>
      <c r="E50" s="43">
        <v>0.747</v>
      </c>
      <c r="G50" s="11" t="s">
        <v>429</v>
      </c>
      <c r="H50" s="11">
        <v>0.8441</v>
      </c>
      <c r="J50" s="11" t="s">
        <v>431</v>
      </c>
      <c r="K50" s="11">
        <v>0.8947</v>
      </c>
    </row>
    <row r="51" spans="6:218" s="11" customFormat="1" ht="12.75" hidden="1">
      <c r="F51" s="78"/>
      <c r="N51" s="78"/>
      <c r="R51" s="79"/>
      <c r="V51" s="78"/>
      <c r="Z51" s="79"/>
      <c r="AD51" s="78"/>
      <c r="AH51" s="79"/>
      <c r="AL51" s="78"/>
      <c r="AP51" s="79"/>
      <c r="AT51" s="78"/>
      <c r="AX51" s="79"/>
      <c r="BB51" s="78"/>
      <c r="BF51" s="79"/>
      <c r="BJ51" s="78"/>
      <c r="BN51" s="79"/>
      <c r="BR51" s="78"/>
      <c r="BV51" s="79"/>
      <c r="BZ51" s="78"/>
      <c r="CD51" s="79"/>
      <c r="CH51" s="78"/>
      <c r="CL51" s="79"/>
      <c r="CP51" s="78"/>
      <c r="CT51" s="79"/>
      <c r="CX51" s="78"/>
      <c r="DB51" s="79"/>
      <c r="DF51" s="78"/>
      <c r="DJ51" s="79"/>
      <c r="DN51" s="78"/>
      <c r="DR51" s="79"/>
      <c r="DV51" s="78"/>
      <c r="DZ51" s="79"/>
      <c r="ED51" s="78"/>
      <c r="EH51" s="79"/>
      <c r="EL51" s="78"/>
      <c r="EP51" s="79"/>
      <c r="ET51" s="78"/>
      <c r="EX51" s="79"/>
      <c r="FB51" s="78"/>
      <c r="FF51" s="79"/>
      <c r="FJ51" s="78"/>
      <c r="FN51" s="79"/>
      <c r="FR51" s="78"/>
      <c r="FV51" s="79"/>
      <c r="FZ51" s="78"/>
      <c r="GD51" s="79"/>
      <c r="GH51" s="78"/>
      <c r="GL51" s="79"/>
      <c r="GP51" s="78"/>
      <c r="GT51" s="79"/>
      <c r="GX51" s="78"/>
      <c r="HB51" s="79"/>
      <c r="HF51" s="78"/>
      <c r="HJ51" s="79"/>
    </row>
    <row r="52" ht="12.75" hidden="1"/>
    <row r="53" spans="7:11" ht="12.75" hidden="1">
      <c r="G53" s="142" t="s">
        <v>430</v>
      </c>
      <c r="H53" s="10">
        <f>H50*1.222222</f>
        <v>1.0316775902</v>
      </c>
      <c r="J53" s="142" t="s">
        <v>432</v>
      </c>
      <c r="K53" s="10">
        <f>K50*1.222222</f>
        <v>1.0935220234</v>
      </c>
    </row>
    <row r="54" spans="1:5" ht="12.75" hidden="1">
      <c r="A54" s="142" t="s">
        <v>409</v>
      </c>
      <c r="B54" s="143">
        <v>0.857</v>
      </c>
      <c r="D54" s="142" t="s">
        <v>421</v>
      </c>
      <c r="E54" s="143">
        <v>0.913</v>
      </c>
    </row>
    <row r="55" ht="12.75" hidden="1"/>
    <row r="56" spans="1:11" ht="12.75" hidden="1">
      <c r="A56" s="13" t="s">
        <v>369</v>
      </c>
      <c r="B56" s="110">
        <v>1320</v>
      </c>
      <c r="E56" s="142" t="s">
        <v>410</v>
      </c>
      <c r="F56" s="144">
        <f>LOOKUP(D156,porant,cod06cargosdic08)</f>
        <v>730</v>
      </c>
      <c r="H56" s="142" t="s">
        <v>422</v>
      </c>
      <c r="I56" s="144">
        <f>LOOKUP(D156,porant,cod06cargosfeb09)</f>
        <v>770</v>
      </c>
      <c r="J56" s="142" t="s">
        <v>437</v>
      </c>
      <c r="K56" s="144">
        <f>LOOKUP(D156,porant,cod06cargosmar10)</f>
        <v>886</v>
      </c>
    </row>
    <row r="57" ht="12.75" hidden="1">
      <c r="B57" s="43"/>
    </row>
    <row r="58" spans="1:11" ht="13.5" hidden="1" thickBot="1">
      <c r="A58" s="10" t="s">
        <v>370</v>
      </c>
      <c r="B58" s="43"/>
      <c r="J58" s="142" t="s">
        <v>438</v>
      </c>
      <c r="K58" s="144">
        <f>LOOKUP(D156,porant,cod06cargosjul10)</f>
        <v>956</v>
      </c>
    </row>
    <row r="59" spans="1:2" ht="12.75" hidden="1">
      <c r="A59" s="140" t="s">
        <v>371</v>
      </c>
      <c r="B59" s="141">
        <v>0</v>
      </c>
    </row>
    <row r="60" spans="1:10" ht="15.75" hidden="1">
      <c r="A60" s="130" t="s">
        <v>372</v>
      </c>
      <c r="B60" s="145">
        <v>0</v>
      </c>
      <c r="H60" s="10" t="s">
        <v>433</v>
      </c>
      <c r="I60" s="410">
        <v>0.15</v>
      </c>
      <c r="J60" s="412">
        <f>1+I60</f>
        <v>1.15</v>
      </c>
    </row>
    <row r="61" spans="1:6" ht="15.75" hidden="1">
      <c r="A61" s="130" t="s">
        <v>373</v>
      </c>
      <c r="B61" s="145">
        <v>8.1</v>
      </c>
      <c r="C61" s="130" t="s">
        <v>383</v>
      </c>
      <c r="D61" s="145">
        <v>9.4</v>
      </c>
      <c r="E61" s="130" t="s">
        <v>385</v>
      </c>
      <c r="F61" s="145">
        <v>9.4</v>
      </c>
    </row>
    <row r="62" spans="1:10" ht="13.5" hidden="1" thickBot="1">
      <c r="A62" s="146" t="s">
        <v>374</v>
      </c>
      <c r="B62" s="147">
        <v>0</v>
      </c>
      <c r="H62" s="10" t="s">
        <v>434</v>
      </c>
      <c r="I62" s="411">
        <v>0.242</v>
      </c>
      <c r="J62" s="413">
        <f>1+I62</f>
        <v>1.242</v>
      </c>
    </row>
    <row r="63" ht="12.75" hidden="1">
      <c r="B63" s="43"/>
    </row>
    <row r="64" spans="1:2" ht="13.5" hidden="1" thickBot="1">
      <c r="A64" s="10" t="s">
        <v>375</v>
      </c>
      <c r="B64" s="43"/>
    </row>
    <row r="65" spans="1:2" ht="12.75" hidden="1">
      <c r="A65" s="140" t="s">
        <v>376</v>
      </c>
      <c r="B65" s="141">
        <v>0</v>
      </c>
    </row>
    <row r="66" spans="1:2" ht="15.75" hidden="1">
      <c r="A66" s="130" t="s">
        <v>377</v>
      </c>
      <c r="B66" s="145">
        <v>0</v>
      </c>
    </row>
    <row r="67" spans="1:6" ht="15.75" hidden="1">
      <c r="A67" s="130" t="s">
        <v>378</v>
      </c>
      <c r="B67" s="145">
        <v>8.1</v>
      </c>
      <c r="C67" s="130" t="s">
        <v>384</v>
      </c>
      <c r="D67" s="145">
        <v>9.4</v>
      </c>
      <c r="E67" s="130" t="s">
        <v>386</v>
      </c>
      <c r="F67" s="145">
        <v>9.4</v>
      </c>
    </row>
    <row r="68" spans="1:2" ht="13.5" hidden="1" thickBot="1">
      <c r="A68" s="146" t="s">
        <v>379</v>
      </c>
      <c r="B68" s="147">
        <v>0</v>
      </c>
    </row>
    <row r="69" spans="1:2" ht="15.75" hidden="1">
      <c r="A69" s="11"/>
      <c r="B69" s="204"/>
    </row>
    <row r="70" spans="1:2" ht="15.75" hidden="1">
      <c r="A70" s="11"/>
      <c r="B70" s="204"/>
    </row>
    <row r="71" spans="1:2" ht="15.75" hidden="1">
      <c r="A71" s="11"/>
      <c r="B71" s="204"/>
    </row>
    <row r="72" spans="1:26" ht="24" hidden="1" thickBot="1">
      <c r="A72" s="158"/>
      <c r="E72" s="312" t="s">
        <v>411</v>
      </c>
      <c r="N72" s="74"/>
      <c r="O72" s="74"/>
      <c r="Y72" s="11"/>
      <c r="Z72" s="204"/>
    </row>
    <row r="73" spans="1:26" ht="17.25" hidden="1" thickBot="1" thickTop="1">
      <c r="A73" s="158"/>
      <c r="C73" s="220" t="s">
        <v>395</v>
      </c>
      <c r="D73" s="10" t="s">
        <v>397</v>
      </c>
      <c r="E73" s="10" t="s">
        <v>398</v>
      </c>
      <c r="F73" s="133" t="s">
        <v>399</v>
      </c>
      <c r="G73" s="133" t="s">
        <v>400</v>
      </c>
      <c r="H73" s="133" t="s">
        <v>401</v>
      </c>
      <c r="I73" s="133" t="s">
        <v>402</v>
      </c>
      <c r="J73" s="133" t="s">
        <v>403</v>
      </c>
      <c r="K73" s="133" t="s">
        <v>404</v>
      </c>
      <c r="L73" s="148" t="s">
        <v>405</v>
      </c>
      <c r="M73" s="148">
        <v>1</v>
      </c>
      <c r="N73" s="148">
        <v>2</v>
      </c>
      <c r="O73" s="148">
        <v>3</v>
      </c>
      <c r="P73" s="148">
        <v>4</v>
      </c>
      <c r="Q73" s="148">
        <v>5</v>
      </c>
      <c r="Y73" s="11"/>
      <c r="Z73" s="204"/>
    </row>
    <row r="74" spans="1:26" ht="16.5" hidden="1" thickBot="1">
      <c r="A74" s="158"/>
      <c r="B74" s="221">
        <v>0</v>
      </c>
      <c r="C74" s="222">
        <f aca="true" t="shared" si="0" ref="C74:C85">IF(puntosproljor&lt;620,Q74,L74)</f>
        <v>180</v>
      </c>
      <c r="D74" s="134">
        <v>180</v>
      </c>
      <c r="E74" s="223">
        <v>80</v>
      </c>
      <c r="F74" s="149">
        <v>0</v>
      </c>
      <c r="G74" s="150">
        <v>0</v>
      </c>
      <c r="H74" s="151">
        <v>0</v>
      </c>
      <c r="I74" s="224">
        <v>0</v>
      </c>
      <c r="J74" s="225">
        <v>180</v>
      </c>
      <c r="K74" s="226">
        <v>80</v>
      </c>
      <c r="L74" s="152">
        <f aca="true" t="shared" si="1" ref="L74:L85">IF(PUNTOSbasicos&gt;971,K74,J74)</f>
        <v>180</v>
      </c>
      <c r="M74" s="152">
        <f aca="true" t="shared" si="2" ref="M74:M85">IF(PUNTOSbasicos&lt;972,D74,E74)</f>
        <v>180</v>
      </c>
      <c r="N74" s="152">
        <f aca="true" t="shared" si="3" ref="N74:N85">IF(PUNTOSbasicos&lt;1170,M74,F74)</f>
        <v>180</v>
      </c>
      <c r="O74" s="152">
        <f aca="true" t="shared" si="4" ref="O74:O85">IF(PUNTOSbasicos&lt;1401,N74,G74)</f>
        <v>180</v>
      </c>
      <c r="P74" s="152">
        <f aca="true" t="shared" si="5" ref="P74:P85">IF(PUNTOSbasicos&lt;1943,O74,H74)</f>
        <v>180</v>
      </c>
      <c r="Q74" s="152">
        <f aca="true" t="shared" si="6" ref="Q74:Q85">IF(PUNTOSbasicos&lt;=2220,P74,I74)</f>
        <v>180</v>
      </c>
      <c r="Y74" s="11"/>
      <c r="Z74" s="204"/>
    </row>
    <row r="75" spans="1:26" ht="16.5" hidden="1" thickBot="1">
      <c r="A75" s="158"/>
      <c r="B75" s="227">
        <v>0.1</v>
      </c>
      <c r="C75" s="222">
        <f t="shared" si="0"/>
        <v>195</v>
      </c>
      <c r="D75" s="134">
        <v>195</v>
      </c>
      <c r="E75" s="228">
        <v>90</v>
      </c>
      <c r="F75" s="149">
        <v>0</v>
      </c>
      <c r="G75" s="150">
        <v>0</v>
      </c>
      <c r="H75" s="151">
        <v>0</v>
      </c>
      <c r="I75" s="224">
        <v>0</v>
      </c>
      <c r="J75" s="225">
        <v>195</v>
      </c>
      <c r="K75" s="226">
        <v>90</v>
      </c>
      <c r="L75" s="152">
        <f t="shared" si="1"/>
        <v>195</v>
      </c>
      <c r="M75" s="152">
        <f t="shared" si="2"/>
        <v>195</v>
      </c>
      <c r="N75" s="152">
        <f t="shared" si="3"/>
        <v>195</v>
      </c>
      <c r="O75" s="152">
        <f t="shared" si="4"/>
        <v>195</v>
      </c>
      <c r="P75" s="152">
        <f t="shared" si="5"/>
        <v>195</v>
      </c>
      <c r="Q75" s="152">
        <f t="shared" si="6"/>
        <v>195</v>
      </c>
      <c r="Y75" s="11"/>
      <c r="Z75" s="204"/>
    </row>
    <row r="76" spans="1:26" ht="16.5" hidden="1" thickBot="1">
      <c r="A76" s="158"/>
      <c r="B76" s="229">
        <v>0.15</v>
      </c>
      <c r="C76" s="222">
        <f t="shared" si="0"/>
        <v>290</v>
      </c>
      <c r="D76" s="134">
        <v>290</v>
      </c>
      <c r="E76" s="228">
        <v>180</v>
      </c>
      <c r="F76" s="153">
        <v>240</v>
      </c>
      <c r="G76" s="154">
        <v>193</v>
      </c>
      <c r="H76" s="155">
        <v>180</v>
      </c>
      <c r="I76" s="224">
        <v>0</v>
      </c>
      <c r="J76" s="225">
        <v>330</v>
      </c>
      <c r="K76" s="226">
        <v>220</v>
      </c>
      <c r="L76" s="152">
        <f t="shared" si="1"/>
        <v>330</v>
      </c>
      <c r="M76" s="152">
        <f t="shared" si="2"/>
        <v>290</v>
      </c>
      <c r="N76" s="152">
        <f t="shared" si="3"/>
        <v>290</v>
      </c>
      <c r="O76" s="152">
        <f t="shared" si="4"/>
        <v>290</v>
      </c>
      <c r="P76" s="152">
        <f t="shared" si="5"/>
        <v>290</v>
      </c>
      <c r="Q76" s="152">
        <f t="shared" si="6"/>
        <v>290</v>
      </c>
      <c r="Y76" s="11"/>
      <c r="Z76" s="204"/>
    </row>
    <row r="77" spans="1:26" ht="16.5" hidden="1" thickBot="1">
      <c r="A77" s="158"/>
      <c r="B77" s="229">
        <v>0.3</v>
      </c>
      <c r="C77" s="222">
        <f t="shared" si="0"/>
        <v>340</v>
      </c>
      <c r="D77" s="134">
        <v>340</v>
      </c>
      <c r="E77" s="228">
        <v>195</v>
      </c>
      <c r="F77" s="153">
        <v>240</v>
      </c>
      <c r="G77" s="154">
        <v>193</v>
      </c>
      <c r="H77" s="155">
        <v>180</v>
      </c>
      <c r="I77" s="224">
        <v>0</v>
      </c>
      <c r="J77" s="225">
        <v>495</v>
      </c>
      <c r="K77" s="226">
        <v>350</v>
      </c>
      <c r="L77" s="152">
        <f t="shared" si="1"/>
        <v>495</v>
      </c>
      <c r="M77" s="152">
        <f t="shared" si="2"/>
        <v>340</v>
      </c>
      <c r="N77" s="152">
        <f t="shared" si="3"/>
        <v>340</v>
      </c>
      <c r="O77" s="152">
        <f t="shared" si="4"/>
        <v>340</v>
      </c>
      <c r="P77" s="152">
        <f t="shared" si="5"/>
        <v>340</v>
      </c>
      <c r="Q77" s="152">
        <f t="shared" si="6"/>
        <v>340</v>
      </c>
      <c r="Y77" s="11"/>
      <c r="Z77" s="204"/>
    </row>
    <row r="78" spans="1:26" ht="16.5" hidden="1" thickBot="1">
      <c r="A78" s="158"/>
      <c r="B78" s="229">
        <v>0.4</v>
      </c>
      <c r="C78" s="222">
        <f t="shared" si="0"/>
        <v>370</v>
      </c>
      <c r="D78" s="134">
        <v>370</v>
      </c>
      <c r="E78" s="228">
        <v>210</v>
      </c>
      <c r="F78" s="153">
        <v>250</v>
      </c>
      <c r="G78" s="154">
        <v>200</v>
      </c>
      <c r="H78" s="155">
        <v>180</v>
      </c>
      <c r="I78" s="224">
        <v>140</v>
      </c>
      <c r="J78" s="225">
        <v>560</v>
      </c>
      <c r="K78" s="226">
        <v>400</v>
      </c>
      <c r="L78" s="152">
        <f t="shared" si="1"/>
        <v>560</v>
      </c>
      <c r="M78" s="152">
        <f t="shared" si="2"/>
        <v>370</v>
      </c>
      <c r="N78" s="152">
        <f t="shared" si="3"/>
        <v>370</v>
      </c>
      <c r="O78" s="152">
        <f t="shared" si="4"/>
        <v>370</v>
      </c>
      <c r="P78" s="152">
        <f t="shared" si="5"/>
        <v>370</v>
      </c>
      <c r="Q78" s="152">
        <f t="shared" si="6"/>
        <v>370</v>
      </c>
      <c r="Y78" s="11"/>
      <c r="Z78" s="204"/>
    </row>
    <row r="79" spans="1:26" ht="16.5" hidden="1" thickBot="1">
      <c r="A79" s="158"/>
      <c r="B79" s="229">
        <v>0.5</v>
      </c>
      <c r="C79" s="222">
        <f t="shared" si="0"/>
        <v>395</v>
      </c>
      <c r="D79" s="134">
        <v>395</v>
      </c>
      <c r="E79" s="228">
        <v>230</v>
      </c>
      <c r="F79" s="153">
        <v>250</v>
      </c>
      <c r="G79" s="137">
        <v>200</v>
      </c>
      <c r="H79" s="155">
        <v>180</v>
      </c>
      <c r="I79" s="224">
        <v>140</v>
      </c>
      <c r="J79" s="225">
        <v>600</v>
      </c>
      <c r="K79" s="226">
        <v>435</v>
      </c>
      <c r="L79" s="152">
        <f t="shared" si="1"/>
        <v>600</v>
      </c>
      <c r="M79" s="152">
        <f t="shared" si="2"/>
        <v>395</v>
      </c>
      <c r="N79" s="152">
        <f t="shared" si="3"/>
        <v>395</v>
      </c>
      <c r="O79" s="152">
        <f t="shared" si="4"/>
        <v>395</v>
      </c>
      <c r="P79" s="152">
        <f t="shared" si="5"/>
        <v>395</v>
      </c>
      <c r="Q79" s="152">
        <f t="shared" si="6"/>
        <v>395</v>
      </c>
      <c r="Y79" s="11"/>
      <c r="Z79" s="204"/>
    </row>
    <row r="80" spans="1:26" ht="16.5" hidden="1" thickBot="1">
      <c r="A80" s="158"/>
      <c r="B80" s="229">
        <v>0.6</v>
      </c>
      <c r="C80" s="222">
        <f t="shared" si="0"/>
        <v>455</v>
      </c>
      <c r="D80" s="134">
        <v>455</v>
      </c>
      <c r="E80" s="228">
        <v>260</v>
      </c>
      <c r="F80" s="153">
        <v>260</v>
      </c>
      <c r="G80" s="137">
        <v>203</v>
      </c>
      <c r="H80" s="155">
        <v>190</v>
      </c>
      <c r="I80" s="224">
        <v>160</v>
      </c>
      <c r="J80" s="225">
        <v>645</v>
      </c>
      <c r="K80" s="226">
        <v>450</v>
      </c>
      <c r="L80" s="152">
        <f t="shared" si="1"/>
        <v>645</v>
      </c>
      <c r="M80" s="152">
        <f t="shared" si="2"/>
        <v>455</v>
      </c>
      <c r="N80" s="152">
        <f t="shared" si="3"/>
        <v>455</v>
      </c>
      <c r="O80" s="152">
        <f t="shared" si="4"/>
        <v>455</v>
      </c>
      <c r="P80" s="152">
        <f t="shared" si="5"/>
        <v>455</v>
      </c>
      <c r="Q80" s="152">
        <f t="shared" si="6"/>
        <v>455</v>
      </c>
      <c r="Y80" s="11"/>
      <c r="Z80" s="204"/>
    </row>
    <row r="81" spans="1:26" ht="16.5" hidden="1" thickBot="1">
      <c r="A81" s="158"/>
      <c r="B81" s="229">
        <v>0.7</v>
      </c>
      <c r="C81" s="222">
        <f t="shared" si="0"/>
        <v>430</v>
      </c>
      <c r="D81" s="134">
        <v>430</v>
      </c>
      <c r="E81" s="228">
        <v>285</v>
      </c>
      <c r="F81" s="153">
        <v>365</v>
      </c>
      <c r="G81" s="137">
        <v>230</v>
      </c>
      <c r="H81" s="155">
        <v>190</v>
      </c>
      <c r="I81" s="224">
        <v>160</v>
      </c>
      <c r="J81" s="225">
        <v>610</v>
      </c>
      <c r="K81" s="226">
        <v>465</v>
      </c>
      <c r="L81" s="152">
        <f t="shared" si="1"/>
        <v>610</v>
      </c>
      <c r="M81" s="152">
        <f t="shared" si="2"/>
        <v>430</v>
      </c>
      <c r="N81" s="152">
        <f t="shared" si="3"/>
        <v>430</v>
      </c>
      <c r="O81" s="152">
        <f t="shared" si="4"/>
        <v>430</v>
      </c>
      <c r="P81" s="152">
        <f t="shared" si="5"/>
        <v>430</v>
      </c>
      <c r="Q81" s="152">
        <f t="shared" si="6"/>
        <v>430</v>
      </c>
      <c r="Y81" s="11"/>
      <c r="Z81" s="204"/>
    </row>
    <row r="82" spans="1:26" ht="16.5" hidden="1" thickBot="1">
      <c r="A82" s="158"/>
      <c r="B82" s="229">
        <v>0.8</v>
      </c>
      <c r="C82" s="222">
        <f t="shared" si="0"/>
        <v>515</v>
      </c>
      <c r="D82" s="134">
        <v>515</v>
      </c>
      <c r="E82" s="228">
        <v>345</v>
      </c>
      <c r="F82" s="136">
        <v>395</v>
      </c>
      <c r="G82" s="137">
        <v>340</v>
      </c>
      <c r="H82" s="156">
        <v>280</v>
      </c>
      <c r="I82" s="230">
        <v>180</v>
      </c>
      <c r="J82" s="225">
        <v>645</v>
      </c>
      <c r="K82" s="226">
        <v>475</v>
      </c>
      <c r="L82" s="152">
        <f t="shared" si="1"/>
        <v>645</v>
      </c>
      <c r="M82" s="152">
        <f t="shared" si="2"/>
        <v>515</v>
      </c>
      <c r="N82" s="152">
        <f t="shared" si="3"/>
        <v>515</v>
      </c>
      <c r="O82" s="152">
        <f t="shared" si="4"/>
        <v>515</v>
      </c>
      <c r="P82" s="152">
        <f t="shared" si="5"/>
        <v>515</v>
      </c>
      <c r="Q82" s="152">
        <f t="shared" si="6"/>
        <v>515</v>
      </c>
      <c r="Y82" s="11"/>
      <c r="Z82" s="204"/>
    </row>
    <row r="83" spans="1:26" ht="16.5" hidden="1" thickBot="1">
      <c r="A83" s="158"/>
      <c r="B83" s="229">
        <v>1</v>
      </c>
      <c r="C83" s="222">
        <f t="shared" si="0"/>
        <v>635</v>
      </c>
      <c r="D83" s="134">
        <v>635</v>
      </c>
      <c r="E83" s="228">
        <v>435</v>
      </c>
      <c r="F83" s="136">
        <v>410</v>
      </c>
      <c r="G83" s="137">
        <v>330</v>
      </c>
      <c r="H83" s="156">
        <v>310</v>
      </c>
      <c r="I83" s="230">
        <v>180</v>
      </c>
      <c r="J83" s="225">
        <v>690</v>
      </c>
      <c r="K83" s="226">
        <v>490</v>
      </c>
      <c r="L83" s="152">
        <f t="shared" si="1"/>
        <v>690</v>
      </c>
      <c r="M83" s="152">
        <f t="shared" si="2"/>
        <v>635</v>
      </c>
      <c r="N83" s="152">
        <f t="shared" si="3"/>
        <v>635</v>
      </c>
      <c r="O83" s="152">
        <f t="shared" si="4"/>
        <v>635</v>
      </c>
      <c r="P83" s="152">
        <f t="shared" si="5"/>
        <v>635</v>
      </c>
      <c r="Q83" s="152">
        <f t="shared" si="6"/>
        <v>635</v>
      </c>
      <c r="Y83" s="11"/>
      <c r="Z83" s="204"/>
    </row>
    <row r="84" spans="1:26" ht="16.5" hidden="1" thickBot="1">
      <c r="A84" s="158"/>
      <c r="B84" s="229">
        <v>1.1</v>
      </c>
      <c r="C84" s="222">
        <f t="shared" si="0"/>
        <v>710</v>
      </c>
      <c r="D84" s="134">
        <v>710</v>
      </c>
      <c r="E84" s="228">
        <v>495</v>
      </c>
      <c r="F84" s="136">
        <v>430</v>
      </c>
      <c r="G84" s="137">
        <v>330</v>
      </c>
      <c r="H84" s="156">
        <v>320</v>
      </c>
      <c r="I84" s="230">
        <v>190</v>
      </c>
      <c r="J84" s="225">
        <v>720</v>
      </c>
      <c r="K84" s="226">
        <v>505</v>
      </c>
      <c r="L84" s="152">
        <f t="shared" si="1"/>
        <v>720</v>
      </c>
      <c r="M84" s="152">
        <f t="shared" si="2"/>
        <v>710</v>
      </c>
      <c r="N84" s="152">
        <f t="shared" si="3"/>
        <v>710</v>
      </c>
      <c r="O84" s="152">
        <f t="shared" si="4"/>
        <v>710</v>
      </c>
      <c r="P84" s="152">
        <f t="shared" si="5"/>
        <v>710</v>
      </c>
      <c r="Q84" s="152">
        <f t="shared" si="6"/>
        <v>710</v>
      </c>
      <c r="Y84" s="11"/>
      <c r="Z84" s="204"/>
    </row>
    <row r="85" spans="1:26" ht="16.5" hidden="1" thickBot="1">
      <c r="A85" s="158"/>
      <c r="B85" s="231">
        <v>1.2</v>
      </c>
      <c r="C85" s="232">
        <f t="shared" si="0"/>
        <v>730</v>
      </c>
      <c r="D85" s="134">
        <v>730</v>
      </c>
      <c r="E85" s="228">
        <v>510</v>
      </c>
      <c r="F85" s="136">
        <v>480</v>
      </c>
      <c r="G85" s="137">
        <v>335</v>
      </c>
      <c r="H85" s="156">
        <v>330</v>
      </c>
      <c r="I85" s="230">
        <v>190</v>
      </c>
      <c r="J85" s="225">
        <v>730</v>
      </c>
      <c r="K85" s="226">
        <v>510</v>
      </c>
      <c r="L85" s="152">
        <f t="shared" si="1"/>
        <v>730</v>
      </c>
      <c r="M85" s="152">
        <f t="shared" si="2"/>
        <v>730</v>
      </c>
      <c r="N85" s="152">
        <f t="shared" si="3"/>
        <v>730</v>
      </c>
      <c r="O85" s="152">
        <f t="shared" si="4"/>
        <v>730</v>
      </c>
      <c r="P85" s="152">
        <f t="shared" si="5"/>
        <v>730</v>
      </c>
      <c r="Q85" s="152">
        <f t="shared" si="6"/>
        <v>730</v>
      </c>
      <c r="Y85" s="11"/>
      <c r="Z85" s="204"/>
    </row>
    <row r="86" spans="1:26" ht="15.75" hidden="1">
      <c r="A86" s="158"/>
      <c r="B86" s="159"/>
      <c r="C86" s="160"/>
      <c r="D86" s="160"/>
      <c r="E86" s="160"/>
      <c r="F86" s="160"/>
      <c r="G86" s="159"/>
      <c r="H86" s="160"/>
      <c r="I86" s="2"/>
      <c r="J86" s="2"/>
      <c r="K86" s="2"/>
      <c r="Y86" s="11"/>
      <c r="Z86" s="204"/>
    </row>
    <row r="87" spans="1:15" ht="25.5" customHeight="1" hidden="1" thickBot="1">
      <c r="A87" s="9"/>
      <c r="E87" s="312" t="s">
        <v>419</v>
      </c>
      <c r="N87" s="74"/>
      <c r="O87" s="74"/>
    </row>
    <row r="88" spans="1:17" ht="12" customHeight="1" hidden="1" thickBot="1" thickTop="1">
      <c r="A88" s="9"/>
      <c r="C88" s="220" t="s">
        <v>395</v>
      </c>
      <c r="D88" s="10" t="s">
        <v>397</v>
      </c>
      <c r="E88" s="10" t="s">
        <v>398</v>
      </c>
      <c r="F88" s="133" t="s">
        <v>399</v>
      </c>
      <c r="G88" s="133" t="s">
        <v>400</v>
      </c>
      <c r="H88" s="133" t="s">
        <v>401</v>
      </c>
      <c r="I88" s="133" t="s">
        <v>402</v>
      </c>
      <c r="J88" s="133" t="s">
        <v>403</v>
      </c>
      <c r="K88" s="133" t="s">
        <v>404</v>
      </c>
      <c r="L88" s="148" t="s">
        <v>405</v>
      </c>
      <c r="M88" s="148">
        <v>1</v>
      </c>
      <c r="N88" s="148">
        <v>2</v>
      </c>
      <c r="O88" s="148">
        <v>3</v>
      </c>
      <c r="P88" s="148">
        <v>4</v>
      </c>
      <c r="Q88" s="148">
        <v>5</v>
      </c>
    </row>
    <row r="89" spans="1:17" ht="12" customHeight="1" hidden="1" thickBot="1">
      <c r="A89" s="9"/>
      <c r="B89" s="221">
        <v>0</v>
      </c>
      <c r="C89" s="222">
        <f aca="true" t="shared" si="7" ref="C89:C100">IF(puntosproljor&lt;620,Q89,L89)</f>
        <v>233</v>
      </c>
      <c r="D89" s="134">
        <v>233</v>
      </c>
      <c r="E89" s="223">
        <v>80</v>
      </c>
      <c r="F89" s="149">
        <v>0</v>
      </c>
      <c r="G89" s="150">
        <v>0</v>
      </c>
      <c r="H89" s="151">
        <v>0</v>
      </c>
      <c r="I89" s="224">
        <v>0</v>
      </c>
      <c r="J89" s="225">
        <v>80</v>
      </c>
      <c r="K89" s="226">
        <v>80</v>
      </c>
      <c r="L89" s="152">
        <f aca="true" t="shared" si="8" ref="L89:L100">IF(PUNTOSbasicos&gt;971,K89,J89)</f>
        <v>80</v>
      </c>
      <c r="M89" s="152">
        <f aca="true" t="shared" si="9" ref="M89:M100">IF(PUNTOSbasicos&lt;972,D89,E89)</f>
        <v>233</v>
      </c>
      <c r="N89" s="152">
        <f aca="true" t="shared" si="10" ref="N89:N100">IF(PUNTOSbasicos&lt;1170,M89,F89)</f>
        <v>233</v>
      </c>
      <c r="O89" s="152">
        <f aca="true" t="shared" si="11" ref="O89:O100">IF(PUNTOSbasicos&lt;1401,N89,G89)</f>
        <v>233</v>
      </c>
      <c r="P89" s="152">
        <f aca="true" t="shared" si="12" ref="P89:P100">IF(PUNTOSbasicos&lt;1943,O89,H89)</f>
        <v>233</v>
      </c>
      <c r="Q89" s="152">
        <f aca="true" t="shared" si="13" ref="Q89:Q100">IF(PUNTOSbasicos&lt;=2220,P89,I89)</f>
        <v>233</v>
      </c>
    </row>
    <row r="90" spans="1:17" ht="12" customHeight="1" hidden="1" thickBot="1">
      <c r="A90" s="9"/>
      <c r="B90" s="227">
        <v>0.1</v>
      </c>
      <c r="C90" s="222">
        <f t="shared" si="7"/>
        <v>250</v>
      </c>
      <c r="D90" s="134">
        <v>250</v>
      </c>
      <c r="E90" s="228">
        <v>90</v>
      </c>
      <c r="F90" s="149">
        <v>0</v>
      </c>
      <c r="G90" s="150">
        <v>0</v>
      </c>
      <c r="H90" s="151">
        <v>0</v>
      </c>
      <c r="I90" s="224">
        <v>0</v>
      </c>
      <c r="J90" s="225">
        <v>90</v>
      </c>
      <c r="K90" s="226">
        <v>90</v>
      </c>
      <c r="L90" s="152">
        <f t="shared" si="8"/>
        <v>90</v>
      </c>
      <c r="M90" s="152">
        <f t="shared" si="9"/>
        <v>250</v>
      </c>
      <c r="N90" s="152">
        <f t="shared" si="10"/>
        <v>250</v>
      </c>
      <c r="O90" s="152">
        <f t="shared" si="11"/>
        <v>250</v>
      </c>
      <c r="P90" s="152">
        <f t="shared" si="12"/>
        <v>250</v>
      </c>
      <c r="Q90" s="152">
        <f t="shared" si="13"/>
        <v>250</v>
      </c>
    </row>
    <row r="91" spans="1:17" ht="12" customHeight="1" hidden="1" thickBot="1">
      <c r="A91" s="9"/>
      <c r="B91" s="229">
        <v>0.15</v>
      </c>
      <c r="C91" s="222">
        <f t="shared" si="7"/>
        <v>350</v>
      </c>
      <c r="D91" s="134">
        <v>350</v>
      </c>
      <c r="E91" s="228">
        <v>180</v>
      </c>
      <c r="F91" s="153">
        <v>240</v>
      </c>
      <c r="G91" s="154">
        <v>193</v>
      </c>
      <c r="H91" s="155">
        <v>180</v>
      </c>
      <c r="I91" s="224">
        <v>0</v>
      </c>
      <c r="J91" s="225">
        <v>220</v>
      </c>
      <c r="K91" s="226">
        <v>220</v>
      </c>
      <c r="L91" s="152">
        <f t="shared" si="8"/>
        <v>220</v>
      </c>
      <c r="M91" s="152">
        <f t="shared" si="9"/>
        <v>350</v>
      </c>
      <c r="N91" s="152">
        <f t="shared" si="10"/>
        <v>350</v>
      </c>
      <c r="O91" s="152">
        <f t="shared" si="11"/>
        <v>350</v>
      </c>
      <c r="P91" s="152">
        <f t="shared" si="12"/>
        <v>350</v>
      </c>
      <c r="Q91" s="152">
        <f t="shared" si="13"/>
        <v>350</v>
      </c>
    </row>
    <row r="92" spans="1:17" ht="12" customHeight="1" hidden="1" thickBot="1">
      <c r="A92" s="9"/>
      <c r="B92" s="229">
        <v>0.3</v>
      </c>
      <c r="C92" s="222">
        <f t="shared" si="7"/>
        <v>405</v>
      </c>
      <c r="D92" s="134">
        <v>405</v>
      </c>
      <c r="E92" s="228">
        <v>195</v>
      </c>
      <c r="F92" s="153">
        <v>240</v>
      </c>
      <c r="G92" s="154">
        <v>193</v>
      </c>
      <c r="H92" s="155">
        <v>180</v>
      </c>
      <c r="I92" s="224">
        <v>0</v>
      </c>
      <c r="J92" s="225">
        <v>380</v>
      </c>
      <c r="K92" s="226">
        <v>350</v>
      </c>
      <c r="L92" s="152">
        <f t="shared" si="8"/>
        <v>380</v>
      </c>
      <c r="M92" s="152">
        <f t="shared" si="9"/>
        <v>405</v>
      </c>
      <c r="N92" s="152">
        <f t="shared" si="10"/>
        <v>405</v>
      </c>
      <c r="O92" s="152">
        <f t="shared" si="11"/>
        <v>405</v>
      </c>
      <c r="P92" s="152">
        <f t="shared" si="12"/>
        <v>405</v>
      </c>
      <c r="Q92" s="152">
        <f t="shared" si="13"/>
        <v>405</v>
      </c>
    </row>
    <row r="93" spans="1:17" ht="12" customHeight="1" hidden="1" thickBot="1">
      <c r="A93" s="9"/>
      <c r="B93" s="229">
        <v>0.4</v>
      </c>
      <c r="C93" s="222">
        <f t="shared" si="7"/>
        <v>440</v>
      </c>
      <c r="D93" s="134">
        <v>440</v>
      </c>
      <c r="E93" s="228">
        <v>210</v>
      </c>
      <c r="F93" s="153">
        <v>250</v>
      </c>
      <c r="G93" s="154">
        <v>200</v>
      </c>
      <c r="H93" s="155">
        <v>180</v>
      </c>
      <c r="I93" s="224">
        <v>140</v>
      </c>
      <c r="J93" s="225">
        <v>440</v>
      </c>
      <c r="K93" s="226">
        <v>400</v>
      </c>
      <c r="L93" s="152">
        <f t="shared" si="8"/>
        <v>440</v>
      </c>
      <c r="M93" s="152">
        <f t="shared" si="9"/>
        <v>440</v>
      </c>
      <c r="N93" s="152">
        <f t="shared" si="10"/>
        <v>440</v>
      </c>
      <c r="O93" s="152">
        <f t="shared" si="11"/>
        <v>440</v>
      </c>
      <c r="P93" s="152">
        <f t="shared" si="12"/>
        <v>440</v>
      </c>
      <c r="Q93" s="152">
        <f t="shared" si="13"/>
        <v>440</v>
      </c>
    </row>
    <row r="94" spans="1:17" ht="12" customHeight="1" hidden="1" thickBot="1">
      <c r="A94" s="9"/>
      <c r="B94" s="229">
        <v>0.5</v>
      </c>
      <c r="C94" s="222">
        <f t="shared" si="7"/>
        <v>455</v>
      </c>
      <c r="D94" s="134">
        <v>455</v>
      </c>
      <c r="E94" s="228">
        <v>230</v>
      </c>
      <c r="F94" s="153">
        <v>250</v>
      </c>
      <c r="G94" s="137">
        <v>200</v>
      </c>
      <c r="H94" s="155">
        <v>180</v>
      </c>
      <c r="I94" s="224">
        <v>140</v>
      </c>
      <c r="J94" s="225">
        <v>475</v>
      </c>
      <c r="K94" s="226">
        <v>435</v>
      </c>
      <c r="L94" s="152">
        <f t="shared" si="8"/>
        <v>475</v>
      </c>
      <c r="M94" s="152">
        <f t="shared" si="9"/>
        <v>455</v>
      </c>
      <c r="N94" s="152">
        <f t="shared" si="10"/>
        <v>455</v>
      </c>
      <c r="O94" s="152">
        <f t="shared" si="11"/>
        <v>455</v>
      </c>
      <c r="P94" s="152">
        <f t="shared" si="12"/>
        <v>455</v>
      </c>
      <c r="Q94" s="152">
        <f t="shared" si="13"/>
        <v>455</v>
      </c>
    </row>
    <row r="95" spans="1:17" ht="12" customHeight="1" hidden="1" thickBot="1">
      <c r="A95" s="9"/>
      <c r="B95" s="229">
        <v>0.6</v>
      </c>
      <c r="C95" s="222">
        <f t="shared" si="7"/>
        <v>465</v>
      </c>
      <c r="D95" s="134">
        <v>465</v>
      </c>
      <c r="E95" s="228">
        <v>260</v>
      </c>
      <c r="F95" s="153">
        <v>260</v>
      </c>
      <c r="G95" s="137">
        <v>203</v>
      </c>
      <c r="H95" s="155">
        <v>190</v>
      </c>
      <c r="I95" s="224">
        <v>160</v>
      </c>
      <c r="J95" s="225">
        <v>510</v>
      </c>
      <c r="K95" s="226">
        <v>450</v>
      </c>
      <c r="L95" s="152">
        <f t="shared" si="8"/>
        <v>510</v>
      </c>
      <c r="M95" s="152">
        <f t="shared" si="9"/>
        <v>465</v>
      </c>
      <c r="N95" s="152">
        <f t="shared" si="10"/>
        <v>465</v>
      </c>
      <c r="O95" s="152">
        <f t="shared" si="11"/>
        <v>465</v>
      </c>
      <c r="P95" s="152">
        <f t="shared" si="12"/>
        <v>465</v>
      </c>
      <c r="Q95" s="152">
        <f t="shared" si="13"/>
        <v>465</v>
      </c>
    </row>
    <row r="96" spans="1:17" ht="12" customHeight="1" hidden="1" thickBot="1">
      <c r="A96" s="9"/>
      <c r="B96" s="229">
        <v>0.7</v>
      </c>
      <c r="C96" s="222">
        <f t="shared" si="7"/>
        <v>445</v>
      </c>
      <c r="D96" s="134">
        <v>445</v>
      </c>
      <c r="E96" s="228">
        <v>285</v>
      </c>
      <c r="F96" s="153">
        <v>365</v>
      </c>
      <c r="G96" s="137">
        <v>230</v>
      </c>
      <c r="H96" s="155">
        <v>190</v>
      </c>
      <c r="I96" s="224">
        <v>160</v>
      </c>
      <c r="J96" s="225">
        <v>525</v>
      </c>
      <c r="K96" s="226">
        <v>465</v>
      </c>
      <c r="L96" s="152">
        <f t="shared" si="8"/>
        <v>525</v>
      </c>
      <c r="M96" s="152">
        <f t="shared" si="9"/>
        <v>445</v>
      </c>
      <c r="N96" s="152">
        <f t="shared" si="10"/>
        <v>445</v>
      </c>
      <c r="O96" s="152">
        <f t="shared" si="11"/>
        <v>445</v>
      </c>
      <c r="P96" s="152">
        <f t="shared" si="12"/>
        <v>445</v>
      </c>
      <c r="Q96" s="152">
        <f t="shared" si="13"/>
        <v>445</v>
      </c>
    </row>
    <row r="97" spans="1:17" ht="12" customHeight="1" hidden="1" thickBot="1">
      <c r="A97" s="9"/>
      <c r="B97" s="229">
        <v>0.8</v>
      </c>
      <c r="C97" s="222">
        <f t="shared" si="7"/>
        <v>535</v>
      </c>
      <c r="D97" s="134">
        <v>535</v>
      </c>
      <c r="E97" s="228">
        <v>345</v>
      </c>
      <c r="F97" s="136">
        <v>395</v>
      </c>
      <c r="G97" s="137">
        <v>340</v>
      </c>
      <c r="H97" s="156">
        <v>280</v>
      </c>
      <c r="I97" s="230">
        <v>180</v>
      </c>
      <c r="J97" s="225">
        <v>555</v>
      </c>
      <c r="K97" s="226">
        <v>475</v>
      </c>
      <c r="L97" s="152">
        <f t="shared" si="8"/>
        <v>555</v>
      </c>
      <c r="M97" s="152">
        <f t="shared" si="9"/>
        <v>535</v>
      </c>
      <c r="N97" s="152">
        <f t="shared" si="10"/>
        <v>535</v>
      </c>
      <c r="O97" s="152">
        <f t="shared" si="11"/>
        <v>535</v>
      </c>
      <c r="P97" s="152">
        <f t="shared" si="12"/>
        <v>535</v>
      </c>
      <c r="Q97" s="152">
        <f t="shared" si="13"/>
        <v>535</v>
      </c>
    </row>
    <row r="98" spans="1:17" ht="12" customHeight="1" hidden="1" thickBot="1">
      <c r="A98" s="9"/>
      <c r="B98" s="229">
        <v>1</v>
      </c>
      <c r="C98" s="222">
        <f t="shared" si="7"/>
        <v>665</v>
      </c>
      <c r="D98" s="134">
        <v>665</v>
      </c>
      <c r="E98" s="228">
        <v>435</v>
      </c>
      <c r="F98" s="136">
        <v>410</v>
      </c>
      <c r="G98" s="137">
        <v>330</v>
      </c>
      <c r="H98" s="156">
        <v>310</v>
      </c>
      <c r="I98" s="230">
        <v>180</v>
      </c>
      <c r="J98" s="225">
        <v>590</v>
      </c>
      <c r="K98" s="226">
        <v>490</v>
      </c>
      <c r="L98" s="152">
        <f t="shared" si="8"/>
        <v>590</v>
      </c>
      <c r="M98" s="152">
        <f t="shared" si="9"/>
        <v>665</v>
      </c>
      <c r="N98" s="152">
        <f t="shared" si="10"/>
        <v>665</v>
      </c>
      <c r="O98" s="152">
        <f t="shared" si="11"/>
        <v>665</v>
      </c>
      <c r="P98" s="152">
        <f t="shared" si="12"/>
        <v>665</v>
      </c>
      <c r="Q98" s="152">
        <f t="shared" si="13"/>
        <v>665</v>
      </c>
    </row>
    <row r="99" spans="1:17" ht="12" customHeight="1" hidden="1" thickBot="1">
      <c r="A99" s="9"/>
      <c r="B99" s="229">
        <v>1.1</v>
      </c>
      <c r="C99" s="222">
        <f t="shared" si="7"/>
        <v>745</v>
      </c>
      <c r="D99" s="134">
        <v>745</v>
      </c>
      <c r="E99" s="228">
        <v>495</v>
      </c>
      <c r="F99" s="136">
        <v>430</v>
      </c>
      <c r="G99" s="137">
        <v>330</v>
      </c>
      <c r="H99" s="156">
        <v>320</v>
      </c>
      <c r="I99" s="230">
        <v>190</v>
      </c>
      <c r="J99" s="225">
        <v>615</v>
      </c>
      <c r="K99" s="226">
        <v>505</v>
      </c>
      <c r="L99" s="152">
        <f t="shared" si="8"/>
        <v>615</v>
      </c>
      <c r="M99" s="152">
        <f t="shared" si="9"/>
        <v>745</v>
      </c>
      <c r="N99" s="152">
        <f t="shared" si="10"/>
        <v>745</v>
      </c>
      <c r="O99" s="152">
        <f t="shared" si="11"/>
        <v>745</v>
      </c>
      <c r="P99" s="152">
        <f t="shared" si="12"/>
        <v>745</v>
      </c>
      <c r="Q99" s="152">
        <f t="shared" si="13"/>
        <v>745</v>
      </c>
    </row>
    <row r="100" spans="1:17" ht="12" customHeight="1" hidden="1" thickBot="1">
      <c r="A100" s="9"/>
      <c r="B100" s="231">
        <v>1.2</v>
      </c>
      <c r="C100" s="232">
        <f t="shared" si="7"/>
        <v>770</v>
      </c>
      <c r="D100" s="134">
        <v>770</v>
      </c>
      <c r="E100" s="228">
        <v>510</v>
      </c>
      <c r="F100" s="136">
        <v>480</v>
      </c>
      <c r="G100" s="137">
        <v>335</v>
      </c>
      <c r="H100" s="156">
        <v>330</v>
      </c>
      <c r="I100" s="230">
        <v>190</v>
      </c>
      <c r="J100" s="225">
        <v>620</v>
      </c>
      <c r="K100" s="226">
        <v>510</v>
      </c>
      <c r="L100" s="152">
        <f t="shared" si="8"/>
        <v>620</v>
      </c>
      <c r="M100" s="152">
        <f t="shared" si="9"/>
        <v>770</v>
      </c>
      <c r="N100" s="152">
        <f t="shared" si="10"/>
        <v>770</v>
      </c>
      <c r="O100" s="152">
        <f t="shared" si="11"/>
        <v>770</v>
      </c>
      <c r="P100" s="152">
        <f t="shared" si="12"/>
        <v>770</v>
      </c>
      <c r="Q100" s="152">
        <f t="shared" si="13"/>
        <v>770</v>
      </c>
    </row>
    <row r="101" spans="1:26" ht="15.75" hidden="1">
      <c r="A101" s="158"/>
      <c r="B101" s="159"/>
      <c r="C101" s="160"/>
      <c r="D101" s="160"/>
      <c r="E101" s="160"/>
      <c r="F101" s="160"/>
      <c r="G101" s="159"/>
      <c r="H101" s="160"/>
      <c r="I101" s="2"/>
      <c r="J101" s="2"/>
      <c r="K101" s="2"/>
      <c r="Y101" s="11"/>
      <c r="Z101" s="204"/>
    </row>
    <row r="102" spans="1:26" ht="24" hidden="1" thickBot="1">
      <c r="A102" s="158"/>
      <c r="B102" s="159"/>
      <c r="C102" s="160"/>
      <c r="D102" s="160"/>
      <c r="E102" s="312" t="s">
        <v>435</v>
      </c>
      <c r="F102" s="160"/>
      <c r="G102" s="159"/>
      <c r="H102" s="160"/>
      <c r="I102" s="2"/>
      <c r="J102" s="2"/>
      <c r="K102" s="2"/>
      <c r="Y102" s="11"/>
      <c r="Z102" s="204"/>
    </row>
    <row r="103" spans="1:26" ht="17.25" hidden="1" thickBot="1" thickTop="1">
      <c r="A103" s="158"/>
      <c r="C103" s="220" t="s">
        <v>395</v>
      </c>
      <c r="D103" s="10" t="s">
        <v>397</v>
      </c>
      <c r="E103" s="10" t="s">
        <v>398</v>
      </c>
      <c r="F103" s="133" t="s">
        <v>399</v>
      </c>
      <c r="G103" s="133" t="s">
        <v>400</v>
      </c>
      <c r="H103" s="133" t="s">
        <v>401</v>
      </c>
      <c r="I103" s="133" t="s">
        <v>402</v>
      </c>
      <c r="J103" s="133" t="s">
        <v>403</v>
      </c>
      <c r="K103" s="133" t="s">
        <v>404</v>
      </c>
      <c r="L103" s="148" t="s">
        <v>405</v>
      </c>
      <c r="M103" s="148">
        <v>1</v>
      </c>
      <c r="N103" s="148">
        <v>2</v>
      </c>
      <c r="O103" s="148">
        <v>3</v>
      </c>
      <c r="P103" s="148">
        <v>4</v>
      </c>
      <c r="Q103" s="148">
        <v>5</v>
      </c>
      <c r="Y103" s="11"/>
      <c r="Z103" s="204"/>
    </row>
    <row r="104" spans="1:26" ht="15.75" hidden="1">
      <c r="A104" s="158"/>
      <c r="B104" s="221">
        <v>0</v>
      </c>
      <c r="C104" s="222">
        <f aca="true" t="shared" si="14" ref="C104:C115">IF(puntosproljor&lt;620,Q104,L104)</f>
        <v>268</v>
      </c>
      <c r="D104" s="414">
        <v>268</v>
      </c>
      <c r="E104" s="414">
        <v>92</v>
      </c>
      <c r="F104" s="414">
        <v>0</v>
      </c>
      <c r="G104" s="414">
        <v>0</v>
      </c>
      <c r="H104" s="414">
        <v>0</v>
      </c>
      <c r="I104" s="414">
        <v>0</v>
      </c>
      <c r="J104" s="414">
        <v>92</v>
      </c>
      <c r="K104" s="414">
        <v>92</v>
      </c>
      <c r="L104" s="152">
        <f aca="true" t="shared" si="15" ref="L104:L115">IF(PUNTOSbasicos&gt;971,K104,J104)</f>
        <v>92</v>
      </c>
      <c r="M104" s="152">
        <f aca="true" t="shared" si="16" ref="M104:M115">IF(PUNTOSbasicos&lt;972,D104,E104)</f>
        <v>268</v>
      </c>
      <c r="N104" s="152">
        <f aca="true" t="shared" si="17" ref="N104:N115">IF(PUNTOSbasicos&lt;1170,M104,F104)</f>
        <v>268</v>
      </c>
      <c r="O104" s="152">
        <f aca="true" t="shared" si="18" ref="O104:O115">IF(PUNTOSbasicos&lt;1401,N104,G104)</f>
        <v>268</v>
      </c>
      <c r="P104" s="152">
        <f aca="true" t="shared" si="19" ref="P104:P115">IF(PUNTOSbasicos&lt;1943,O104,H104)</f>
        <v>268</v>
      </c>
      <c r="Q104" s="152">
        <f aca="true" t="shared" si="20" ref="Q104:Q115">IF(PUNTOSbasicos&lt;=2220,P104,I104)</f>
        <v>268</v>
      </c>
      <c r="Y104" s="11"/>
      <c r="Z104" s="204"/>
    </row>
    <row r="105" spans="1:26" ht="15.75" hidden="1">
      <c r="A105" s="158"/>
      <c r="B105" s="227">
        <v>0.1</v>
      </c>
      <c r="C105" s="222">
        <f t="shared" si="14"/>
        <v>288</v>
      </c>
      <c r="D105" s="414">
        <v>288</v>
      </c>
      <c r="E105" s="414">
        <v>104</v>
      </c>
      <c r="F105" s="414">
        <v>0</v>
      </c>
      <c r="G105" s="414">
        <v>0</v>
      </c>
      <c r="H105" s="414">
        <v>0</v>
      </c>
      <c r="I105" s="414">
        <v>0</v>
      </c>
      <c r="J105" s="414">
        <v>104</v>
      </c>
      <c r="K105" s="414">
        <v>104</v>
      </c>
      <c r="L105" s="152">
        <f t="shared" si="15"/>
        <v>104</v>
      </c>
      <c r="M105" s="152">
        <f t="shared" si="16"/>
        <v>288</v>
      </c>
      <c r="N105" s="152">
        <f t="shared" si="17"/>
        <v>288</v>
      </c>
      <c r="O105" s="152">
        <f t="shared" si="18"/>
        <v>288</v>
      </c>
      <c r="P105" s="152">
        <f t="shared" si="19"/>
        <v>288</v>
      </c>
      <c r="Q105" s="152">
        <f t="shared" si="20"/>
        <v>288</v>
      </c>
      <c r="Y105" s="11"/>
      <c r="Z105" s="204"/>
    </row>
    <row r="106" spans="1:26" ht="15.75" hidden="1">
      <c r="A106" s="158"/>
      <c r="B106" s="229">
        <v>0.15</v>
      </c>
      <c r="C106" s="222">
        <f t="shared" si="14"/>
        <v>403</v>
      </c>
      <c r="D106" s="414">
        <v>403</v>
      </c>
      <c r="E106" s="414">
        <v>207</v>
      </c>
      <c r="F106" s="414">
        <v>276</v>
      </c>
      <c r="G106" s="414">
        <v>222</v>
      </c>
      <c r="H106" s="414">
        <v>207</v>
      </c>
      <c r="I106" s="414">
        <v>0</v>
      </c>
      <c r="J106" s="414">
        <v>253</v>
      </c>
      <c r="K106" s="414">
        <v>253</v>
      </c>
      <c r="L106" s="152">
        <f t="shared" si="15"/>
        <v>253</v>
      </c>
      <c r="M106" s="152">
        <f t="shared" si="16"/>
        <v>403</v>
      </c>
      <c r="N106" s="152">
        <f t="shared" si="17"/>
        <v>403</v>
      </c>
      <c r="O106" s="152">
        <f t="shared" si="18"/>
        <v>403</v>
      </c>
      <c r="P106" s="152">
        <f t="shared" si="19"/>
        <v>403</v>
      </c>
      <c r="Q106" s="152">
        <f t="shared" si="20"/>
        <v>403</v>
      </c>
      <c r="Y106" s="11"/>
      <c r="Z106" s="204"/>
    </row>
    <row r="107" spans="1:26" ht="15.75" hidden="1">
      <c r="A107" s="158"/>
      <c r="B107" s="229">
        <v>0.3</v>
      </c>
      <c r="C107" s="222">
        <f t="shared" si="14"/>
        <v>466</v>
      </c>
      <c r="D107" s="414">
        <v>466</v>
      </c>
      <c r="E107" s="414">
        <v>224</v>
      </c>
      <c r="F107" s="414">
        <v>276</v>
      </c>
      <c r="G107" s="414">
        <v>222</v>
      </c>
      <c r="H107" s="414">
        <v>207</v>
      </c>
      <c r="I107" s="414">
        <v>0</v>
      </c>
      <c r="J107" s="414">
        <v>437</v>
      </c>
      <c r="K107" s="414">
        <v>403</v>
      </c>
      <c r="L107" s="152">
        <f t="shared" si="15"/>
        <v>437</v>
      </c>
      <c r="M107" s="152">
        <f t="shared" si="16"/>
        <v>466</v>
      </c>
      <c r="N107" s="152">
        <f t="shared" si="17"/>
        <v>466</v>
      </c>
      <c r="O107" s="152">
        <f t="shared" si="18"/>
        <v>466</v>
      </c>
      <c r="P107" s="152">
        <f t="shared" si="19"/>
        <v>466</v>
      </c>
      <c r="Q107" s="152">
        <f t="shared" si="20"/>
        <v>466</v>
      </c>
      <c r="Y107" s="11"/>
      <c r="Z107" s="204"/>
    </row>
    <row r="108" spans="1:26" ht="15.75" hidden="1">
      <c r="A108" s="158"/>
      <c r="B108" s="229">
        <v>0.4</v>
      </c>
      <c r="C108" s="222">
        <f t="shared" si="14"/>
        <v>506</v>
      </c>
      <c r="D108" s="414">
        <v>506</v>
      </c>
      <c r="E108" s="414">
        <v>242</v>
      </c>
      <c r="F108" s="414">
        <v>288</v>
      </c>
      <c r="G108" s="414">
        <v>230</v>
      </c>
      <c r="H108" s="414">
        <v>207</v>
      </c>
      <c r="I108" s="414">
        <v>161</v>
      </c>
      <c r="J108" s="414">
        <v>506</v>
      </c>
      <c r="K108" s="414">
        <v>460</v>
      </c>
      <c r="L108" s="152">
        <f t="shared" si="15"/>
        <v>506</v>
      </c>
      <c r="M108" s="152">
        <f t="shared" si="16"/>
        <v>506</v>
      </c>
      <c r="N108" s="152">
        <f t="shared" si="17"/>
        <v>506</v>
      </c>
      <c r="O108" s="152">
        <f t="shared" si="18"/>
        <v>506</v>
      </c>
      <c r="P108" s="152">
        <f t="shared" si="19"/>
        <v>506</v>
      </c>
      <c r="Q108" s="152">
        <f t="shared" si="20"/>
        <v>506</v>
      </c>
      <c r="Y108" s="11"/>
      <c r="Z108" s="204"/>
    </row>
    <row r="109" spans="1:26" ht="15.75" hidden="1">
      <c r="A109" s="158"/>
      <c r="B109" s="229">
        <v>0.5</v>
      </c>
      <c r="C109" s="222">
        <f t="shared" si="14"/>
        <v>523</v>
      </c>
      <c r="D109" s="414">
        <v>523</v>
      </c>
      <c r="E109" s="414">
        <v>265</v>
      </c>
      <c r="F109" s="414">
        <v>288</v>
      </c>
      <c r="G109" s="414">
        <v>230</v>
      </c>
      <c r="H109" s="414">
        <v>207</v>
      </c>
      <c r="I109" s="414">
        <v>161</v>
      </c>
      <c r="J109" s="414">
        <v>546</v>
      </c>
      <c r="K109" s="414">
        <v>500</v>
      </c>
      <c r="L109" s="152">
        <f t="shared" si="15"/>
        <v>546</v>
      </c>
      <c r="M109" s="152">
        <f t="shared" si="16"/>
        <v>523</v>
      </c>
      <c r="N109" s="152">
        <f t="shared" si="17"/>
        <v>523</v>
      </c>
      <c r="O109" s="152">
        <f t="shared" si="18"/>
        <v>523</v>
      </c>
      <c r="P109" s="152">
        <f t="shared" si="19"/>
        <v>523</v>
      </c>
      <c r="Q109" s="152">
        <f t="shared" si="20"/>
        <v>523</v>
      </c>
      <c r="Y109" s="11"/>
      <c r="Z109" s="204"/>
    </row>
    <row r="110" spans="1:26" ht="15.75" hidden="1">
      <c r="A110" s="158"/>
      <c r="B110" s="229">
        <v>0.6</v>
      </c>
      <c r="C110" s="222">
        <f t="shared" si="14"/>
        <v>535</v>
      </c>
      <c r="D110" s="414">
        <v>535</v>
      </c>
      <c r="E110" s="414">
        <v>299</v>
      </c>
      <c r="F110" s="414">
        <v>299</v>
      </c>
      <c r="G110" s="414">
        <v>233</v>
      </c>
      <c r="H110" s="414">
        <v>219</v>
      </c>
      <c r="I110" s="414">
        <v>184</v>
      </c>
      <c r="J110" s="414">
        <v>587</v>
      </c>
      <c r="K110" s="414">
        <v>518</v>
      </c>
      <c r="L110" s="152">
        <f t="shared" si="15"/>
        <v>587</v>
      </c>
      <c r="M110" s="152">
        <f t="shared" si="16"/>
        <v>535</v>
      </c>
      <c r="N110" s="152">
        <f t="shared" si="17"/>
        <v>535</v>
      </c>
      <c r="O110" s="152">
        <f t="shared" si="18"/>
        <v>535</v>
      </c>
      <c r="P110" s="152">
        <f t="shared" si="19"/>
        <v>535</v>
      </c>
      <c r="Q110" s="152">
        <f t="shared" si="20"/>
        <v>535</v>
      </c>
      <c r="Y110" s="11"/>
      <c r="Z110" s="204"/>
    </row>
    <row r="111" spans="1:26" ht="15.75" hidden="1">
      <c r="A111" s="158"/>
      <c r="B111" s="229">
        <v>0.7</v>
      </c>
      <c r="C111" s="222">
        <f t="shared" si="14"/>
        <v>512</v>
      </c>
      <c r="D111" s="414">
        <v>512</v>
      </c>
      <c r="E111" s="414">
        <v>328</v>
      </c>
      <c r="F111" s="414">
        <v>420</v>
      </c>
      <c r="G111" s="414">
        <v>265</v>
      </c>
      <c r="H111" s="414">
        <v>219</v>
      </c>
      <c r="I111" s="414">
        <v>184</v>
      </c>
      <c r="J111" s="414">
        <v>604</v>
      </c>
      <c r="K111" s="414">
        <v>535</v>
      </c>
      <c r="L111" s="152">
        <f t="shared" si="15"/>
        <v>604</v>
      </c>
      <c r="M111" s="152">
        <f t="shared" si="16"/>
        <v>512</v>
      </c>
      <c r="N111" s="152">
        <f t="shared" si="17"/>
        <v>512</v>
      </c>
      <c r="O111" s="152">
        <f t="shared" si="18"/>
        <v>512</v>
      </c>
      <c r="P111" s="152">
        <f t="shared" si="19"/>
        <v>512</v>
      </c>
      <c r="Q111" s="152">
        <f t="shared" si="20"/>
        <v>512</v>
      </c>
      <c r="Y111" s="11"/>
      <c r="Z111" s="204"/>
    </row>
    <row r="112" spans="1:26" ht="15.75" hidden="1">
      <c r="A112" s="158"/>
      <c r="B112" s="229">
        <v>0.8</v>
      </c>
      <c r="C112" s="222">
        <f t="shared" si="14"/>
        <v>615</v>
      </c>
      <c r="D112" s="414">
        <v>615</v>
      </c>
      <c r="E112" s="414">
        <v>397</v>
      </c>
      <c r="F112" s="414">
        <v>454</v>
      </c>
      <c r="G112" s="414">
        <v>391</v>
      </c>
      <c r="H112" s="414">
        <v>322</v>
      </c>
      <c r="I112" s="414">
        <v>207</v>
      </c>
      <c r="J112" s="414">
        <v>638</v>
      </c>
      <c r="K112" s="414">
        <v>546</v>
      </c>
      <c r="L112" s="152">
        <f t="shared" si="15"/>
        <v>638</v>
      </c>
      <c r="M112" s="152">
        <f t="shared" si="16"/>
        <v>615</v>
      </c>
      <c r="N112" s="152">
        <f t="shared" si="17"/>
        <v>615</v>
      </c>
      <c r="O112" s="152">
        <f t="shared" si="18"/>
        <v>615</v>
      </c>
      <c r="P112" s="152">
        <f t="shared" si="19"/>
        <v>615</v>
      </c>
      <c r="Q112" s="152">
        <f t="shared" si="20"/>
        <v>615</v>
      </c>
      <c r="Y112" s="11"/>
      <c r="Z112" s="204"/>
    </row>
    <row r="113" spans="1:26" ht="15.75" hidden="1">
      <c r="A113" s="158"/>
      <c r="B113" s="229">
        <v>1</v>
      </c>
      <c r="C113" s="222">
        <f t="shared" si="14"/>
        <v>765</v>
      </c>
      <c r="D113" s="414">
        <v>765</v>
      </c>
      <c r="E113" s="414">
        <v>500</v>
      </c>
      <c r="F113" s="414">
        <v>472</v>
      </c>
      <c r="G113" s="414">
        <v>380</v>
      </c>
      <c r="H113" s="414">
        <v>357</v>
      </c>
      <c r="I113" s="414">
        <v>207</v>
      </c>
      <c r="J113" s="414">
        <v>679</v>
      </c>
      <c r="K113" s="414">
        <v>564</v>
      </c>
      <c r="L113" s="152">
        <f t="shared" si="15"/>
        <v>679</v>
      </c>
      <c r="M113" s="152">
        <f t="shared" si="16"/>
        <v>765</v>
      </c>
      <c r="N113" s="152">
        <f t="shared" si="17"/>
        <v>765</v>
      </c>
      <c r="O113" s="152">
        <f t="shared" si="18"/>
        <v>765</v>
      </c>
      <c r="P113" s="152">
        <f t="shared" si="19"/>
        <v>765</v>
      </c>
      <c r="Q113" s="152">
        <f t="shared" si="20"/>
        <v>765</v>
      </c>
      <c r="Y113" s="11"/>
      <c r="Z113" s="204"/>
    </row>
    <row r="114" spans="1:26" ht="15.75" hidden="1">
      <c r="A114" s="158"/>
      <c r="B114" s="229">
        <v>1.1</v>
      </c>
      <c r="C114" s="222">
        <f t="shared" si="14"/>
        <v>857</v>
      </c>
      <c r="D114" s="414">
        <v>857</v>
      </c>
      <c r="E114" s="414">
        <v>569</v>
      </c>
      <c r="F114" s="414">
        <v>495</v>
      </c>
      <c r="G114" s="414">
        <v>380</v>
      </c>
      <c r="H114" s="414">
        <v>368</v>
      </c>
      <c r="I114" s="414">
        <v>219</v>
      </c>
      <c r="J114" s="414">
        <v>707</v>
      </c>
      <c r="K114" s="414">
        <v>581</v>
      </c>
      <c r="L114" s="152">
        <f t="shared" si="15"/>
        <v>707</v>
      </c>
      <c r="M114" s="152">
        <f t="shared" si="16"/>
        <v>857</v>
      </c>
      <c r="N114" s="152">
        <f t="shared" si="17"/>
        <v>857</v>
      </c>
      <c r="O114" s="152">
        <f t="shared" si="18"/>
        <v>857</v>
      </c>
      <c r="P114" s="152">
        <f t="shared" si="19"/>
        <v>857</v>
      </c>
      <c r="Q114" s="152">
        <f t="shared" si="20"/>
        <v>857</v>
      </c>
      <c r="Y114" s="11"/>
      <c r="Z114" s="204"/>
    </row>
    <row r="115" spans="1:26" ht="16.5" hidden="1" thickBot="1">
      <c r="A115" s="158"/>
      <c r="B115" s="231">
        <v>1.2</v>
      </c>
      <c r="C115" s="232">
        <f t="shared" si="14"/>
        <v>886</v>
      </c>
      <c r="D115" s="414">
        <v>886</v>
      </c>
      <c r="E115" s="414">
        <v>587</v>
      </c>
      <c r="F115" s="414">
        <v>552</v>
      </c>
      <c r="G115" s="414">
        <v>385</v>
      </c>
      <c r="H115" s="414">
        <v>380</v>
      </c>
      <c r="I115" s="414">
        <v>219</v>
      </c>
      <c r="J115" s="414">
        <v>713</v>
      </c>
      <c r="K115" s="414">
        <v>587</v>
      </c>
      <c r="L115" s="152">
        <f t="shared" si="15"/>
        <v>713</v>
      </c>
      <c r="M115" s="152">
        <f t="shared" si="16"/>
        <v>886</v>
      </c>
      <c r="N115" s="152">
        <f t="shared" si="17"/>
        <v>886</v>
      </c>
      <c r="O115" s="152">
        <f t="shared" si="18"/>
        <v>886</v>
      </c>
      <c r="P115" s="152">
        <f t="shared" si="19"/>
        <v>886</v>
      </c>
      <c r="Q115" s="152">
        <f t="shared" si="20"/>
        <v>886</v>
      </c>
      <c r="Y115" s="11"/>
      <c r="Z115" s="204"/>
    </row>
    <row r="116" spans="1:26" ht="15.75" hidden="1">
      <c r="A116" s="158"/>
      <c r="N116" s="74"/>
      <c r="O116" s="74"/>
      <c r="Y116" s="11"/>
      <c r="Z116" s="204"/>
    </row>
    <row r="117" spans="1:26" ht="15.75" hidden="1">
      <c r="A117" s="158"/>
      <c r="N117" s="74"/>
      <c r="O117" s="74"/>
      <c r="Y117" s="11"/>
      <c r="Z117" s="204"/>
    </row>
    <row r="118" spans="1:26" ht="24" hidden="1" thickBot="1">
      <c r="A118" s="158"/>
      <c r="E118" s="312" t="s">
        <v>436</v>
      </c>
      <c r="N118" s="74"/>
      <c r="O118" s="74"/>
      <c r="Y118" s="11"/>
      <c r="Z118" s="204"/>
    </row>
    <row r="119" spans="1:26" ht="17.25" hidden="1" thickBot="1" thickTop="1">
      <c r="A119" s="158"/>
      <c r="C119" s="220" t="s">
        <v>395</v>
      </c>
      <c r="D119" s="10" t="s">
        <v>397</v>
      </c>
      <c r="E119" s="10" t="s">
        <v>398</v>
      </c>
      <c r="F119" s="133" t="s">
        <v>399</v>
      </c>
      <c r="G119" s="133" t="s">
        <v>400</v>
      </c>
      <c r="H119" s="133" t="s">
        <v>401</v>
      </c>
      <c r="I119" s="133" t="s">
        <v>402</v>
      </c>
      <c r="J119" s="133" t="s">
        <v>403</v>
      </c>
      <c r="K119" s="133" t="s">
        <v>404</v>
      </c>
      <c r="L119" s="148" t="s">
        <v>405</v>
      </c>
      <c r="M119" s="148">
        <v>1</v>
      </c>
      <c r="N119" s="148">
        <v>2</v>
      </c>
      <c r="O119" s="148">
        <v>3</v>
      </c>
      <c r="P119" s="148">
        <v>4</v>
      </c>
      <c r="Q119" s="148">
        <v>5</v>
      </c>
      <c r="Y119" s="11"/>
      <c r="Z119" s="204"/>
    </row>
    <row r="120" spans="1:26" ht="15.75" hidden="1">
      <c r="A120" s="158"/>
      <c r="B120" s="221">
        <v>0</v>
      </c>
      <c r="C120" s="222">
        <f aca="true" t="shared" si="21" ref="C120:C131">IF(puntosproljor&lt;620,Q120,L120)</f>
        <v>409</v>
      </c>
      <c r="D120" s="414">
        <v>409</v>
      </c>
      <c r="E120" s="414">
        <v>99</v>
      </c>
      <c r="F120" s="414">
        <v>0</v>
      </c>
      <c r="G120" s="414">
        <v>0</v>
      </c>
      <c r="H120" s="414">
        <v>0</v>
      </c>
      <c r="I120" s="414">
        <v>0</v>
      </c>
      <c r="J120" s="414">
        <v>99</v>
      </c>
      <c r="K120" s="414">
        <v>99</v>
      </c>
      <c r="L120" s="152">
        <f aca="true" t="shared" si="22" ref="L120:L131">IF(PUNTOSbasicos&gt;971,K120,J120)</f>
        <v>99</v>
      </c>
      <c r="M120" s="152">
        <f aca="true" t="shared" si="23" ref="M120:M131">IF(PUNTOSbasicos&lt;972,D120,E120)</f>
        <v>409</v>
      </c>
      <c r="N120" s="152">
        <f aca="true" t="shared" si="24" ref="N120:N131">IF(PUNTOSbasicos&lt;1170,M120,F120)</f>
        <v>409</v>
      </c>
      <c r="O120" s="152">
        <f aca="true" t="shared" si="25" ref="O120:O131">IF(PUNTOSbasicos&lt;1401,N120,G120)</f>
        <v>409</v>
      </c>
      <c r="P120" s="152">
        <f aca="true" t="shared" si="26" ref="P120:P131">IF(PUNTOSbasicos&lt;1943,O120,H120)</f>
        <v>409</v>
      </c>
      <c r="Q120" s="152">
        <f aca="true" t="shared" si="27" ref="Q120:Q131">IF(PUNTOSbasicos&lt;=2220,P120,I120)</f>
        <v>409</v>
      </c>
      <c r="Y120" s="11"/>
      <c r="Z120" s="204"/>
    </row>
    <row r="121" spans="1:26" ht="15.75" hidden="1">
      <c r="A121" s="158"/>
      <c r="B121" s="227">
        <v>0.1</v>
      </c>
      <c r="C121" s="222">
        <f t="shared" si="21"/>
        <v>431</v>
      </c>
      <c r="D121" s="414">
        <v>431</v>
      </c>
      <c r="E121" s="414">
        <v>112</v>
      </c>
      <c r="F121" s="414">
        <v>0</v>
      </c>
      <c r="G121" s="414">
        <v>0</v>
      </c>
      <c r="H121" s="414">
        <v>0</v>
      </c>
      <c r="I121" s="414">
        <v>0</v>
      </c>
      <c r="J121" s="414">
        <v>112</v>
      </c>
      <c r="K121" s="414">
        <v>112</v>
      </c>
      <c r="L121" s="152">
        <f t="shared" si="22"/>
        <v>112</v>
      </c>
      <c r="M121" s="152">
        <f t="shared" si="23"/>
        <v>431</v>
      </c>
      <c r="N121" s="152">
        <f t="shared" si="24"/>
        <v>431</v>
      </c>
      <c r="O121" s="152">
        <f t="shared" si="25"/>
        <v>431</v>
      </c>
      <c r="P121" s="152">
        <f t="shared" si="26"/>
        <v>431</v>
      </c>
      <c r="Q121" s="152">
        <f t="shared" si="27"/>
        <v>431</v>
      </c>
      <c r="Y121" s="11"/>
      <c r="Z121" s="204"/>
    </row>
    <row r="122" spans="1:26" ht="15.75" hidden="1">
      <c r="A122" s="158"/>
      <c r="B122" s="229">
        <v>0.15</v>
      </c>
      <c r="C122" s="222">
        <f t="shared" si="21"/>
        <v>555</v>
      </c>
      <c r="D122" s="414">
        <v>555</v>
      </c>
      <c r="E122" s="414">
        <v>224</v>
      </c>
      <c r="F122" s="414">
        <v>298</v>
      </c>
      <c r="G122" s="414">
        <v>240</v>
      </c>
      <c r="H122" s="414">
        <v>224</v>
      </c>
      <c r="I122" s="414">
        <v>0</v>
      </c>
      <c r="J122" s="414">
        <v>273</v>
      </c>
      <c r="K122" s="414">
        <v>273</v>
      </c>
      <c r="L122" s="152">
        <f t="shared" si="22"/>
        <v>273</v>
      </c>
      <c r="M122" s="152">
        <f t="shared" si="23"/>
        <v>555</v>
      </c>
      <c r="N122" s="152">
        <f t="shared" si="24"/>
        <v>555</v>
      </c>
      <c r="O122" s="152">
        <f t="shared" si="25"/>
        <v>555</v>
      </c>
      <c r="P122" s="152">
        <f t="shared" si="26"/>
        <v>555</v>
      </c>
      <c r="Q122" s="152">
        <f t="shared" si="27"/>
        <v>555</v>
      </c>
      <c r="Y122" s="11"/>
      <c r="Z122" s="204"/>
    </row>
    <row r="123" spans="1:26" ht="15.75" hidden="1">
      <c r="A123" s="158"/>
      <c r="B123" s="229">
        <v>0.3</v>
      </c>
      <c r="C123" s="222">
        <f t="shared" si="21"/>
        <v>623</v>
      </c>
      <c r="D123" s="414">
        <v>623</v>
      </c>
      <c r="E123" s="414">
        <v>242</v>
      </c>
      <c r="F123" s="414">
        <v>298</v>
      </c>
      <c r="G123" s="414">
        <v>240</v>
      </c>
      <c r="H123" s="414">
        <v>224</v>
      </c>
      <c r="I123" s="414">
        <v>0</v>
      </c>
      <c r="J123" s="414">
        <v>472</v>
      </c>
      <c r="K123" s="414">
        <v>435</v>
      </c>
      <c r="L123" s="152">
        <f t="shared" si="22"/>
        <v>472</v>
      </c>
      <c r="M123" s="152">
        <f t="shared" si="23"/>
        <v>623</v>
      </c>
      <c r="N123" s="152">
        <f t="shared" si="24"/>
        <v>623</v>
      </c>
      <c r="O123" s="152">
        <f t="shared" si="25"/>
        <v>623</v>
      </c>
      <c r="P123" s="152">
        <f t="shared" si="26"/>
        <v>623</v>
      </c>
      <c r="Q123" s="152">
        <f t="shared" si="27"/>
        <v>623</v>
      </c>
      <c r="Y123" s="11"/>
      <c r="Z123" s="204"/>
    </row>
    <row r="124" spans="1:26" ht="15.75" hidden="1">
      <c r="A124" s="158"/>
      <c r="B124" s="229">
        <v>0.4</v>
      </c>
      <c r="C124" s="222">
        <f t="shared" si="21"/>
        <v>646</v>
      </c>
      <c r="D124" s="414">
        <v>646</v>
      </c>
      <c r="E124" s="414">
        <v>261</v>
      </c>
      <c r="F124" s="414">
        <v>311</v>
      </c>
      <c r="G124" s="414">
        <v>248</v>
      </c>
      <c r="H124" s="414">
        <v>224</v>
      </c>
      <c r="I124" s="414">
        <v>174</v>
      </c>
      <c r="J124" s="414">
        <v>546</v>
      </c>
      <c r="K124" s="414">
        <v>497</v>
      </c>
      <c r="L124" s="152">
        <f t="shared" si="22"/>
        <v>546</v>
      </c>
      <c r="M124" s="152">
        <f t="shared" si="23"/>
        <v>646</v>
      </c>
      <c r="N124" s="152">
        <f t="shared" si="24"/>
        <v>646</v>
      </c>
      <c r="O124" s="152">
        <f t="shared" si="25"/>
        <v>646</v>
      </c>
      <c r="P124" s="152">
        <f t="shared" si="26"/>
        <v>646</v>
      </c>
      <c r="Q124" s="152">
        <f t="shared" si="27"/>
        <v>646</v>
      </c>
      <c r="Y124" s="11"/>
      <c r="Z124" s="204"/>
    </row>
    <row r="125" spans="1:26" ht="15.75" hidden="1">
      <c r="A125" s="158"/>
      <c r="B125" s="229">
        <v>0.5</v>
      </c>
      <c r="C125" s="222">
        <f t="shared" si="21"/>
        <v>565</v>
      </c>
      <c r="D125" s="414">
        <v>565</v>
      </c>
      <c r="E125" s="414">
        <v>286</v>
      </c>
      <c r="F125" s="414">
        <v>311</v>
      </c>
      <c r="G125" s="414">
        <v>248</v>
      </c>
      <c r="H125" s="414">
        <v>224</v>
      </c>
      <c r="I125" s="414">
        <v>174</v>
      </c>
      <c r="J125" s="414">
        <v>590</v>
      </c>
      <c r="K125" s="414">
        <v>540</v>
      </c>
      <c r="L125" s="152">
        <f t="shared" si="22"/>
        <v>590</v>
      </c>
      <c r="M125" s="152">
        <f t="shared" si="23"/>
        <v>565</v>
      </c>
      <c r="N125" s="152">
        <f t="shared" si="24"/>
        <v>565</v>
      </c>
      <c r="O125" s="152">
        <f t="shared" si="25"/>
        <v>565</v>
      </c>
      <c r="P125" s="152">
        <f t="shared" si="26"/>
        <v>565</v>
      </c>
      <c r="Q125" s="152">
        <f t="shared" si="27"/>
        <v>565</v>
      </c>
      <c r="Y125" s="11"/>
      <c r="Z125" s="204"/>
    </row>
    <row r="126" spans="1:26" ht="15.75" hidden="1">
      <c r="A126" s="158"/>
      <c r="B126" s="229">
        <v>0.6</v>
      </c>
      <c r="C126" s="222">
        <f t="shared" si="21"/>
        <v>578</v>
      </c>
      <c r="D126" s="414">
        <v>578</v>
      </c>
      <c r="E126" s="414">
        <v>323</v>
      </c>
      <c r="F126" s="414">
        <v>323</v>
      </c>
      <c r="G126" s="414">
        <v>252</v>
      </c>
      <c r="H126" s="414">
        <v>236</v>
      </c>
      <c r="I126" s="414">
        <v>199</v>
      </c>
      <c r="J126" s="414">
        <v>633</v>
      </c>
      <c r="K126" s="414">
        <v>559</v>
      </c>
      <c r="L126" s="152">
        <f t="shared" si="22"/>
        <v>633</v>
      </c>
      <c r="M126" s="152">
        <f t="shared" si="23"/>
        <v>578</v>
      </c>
      <c r="N126" s="152">
        <f t="shared" si="24"/>
        <v>578</v>
      </c>
      <c r="O126" s="152">
        <f t="shared" si="25"/>
        <v>578</v>
      </c>
      <c r="P126" s="152">
        <f t="shared" si="26"/>
        <v>578</v>
      </c>
      <c r="Q126" s="152">
        <f t="shared" si="27"/>
        <v>578</v>
      </c>
      <c r="Y126" s="11"/>
      <c r="Z126" s="204"/>
    </row>
    <row r="127" spans="1:26" ht="15.75" hidden="1">
      <c r="A127" s="158"/>
      <c r="B127" s="229">
        <v>0.7</v>
      </c>
      <c r="C127" s="222">
        <f t="shared" si="21"/>
        <v>553</v>
      </c>
      <c r="D127" s="414">
        <v>553</v>
      </c>
      <c r="E127" s="414">
        <v>354</v>
      </c>
      <c r="F127" s="414">
        <v>453</v>
      </c>
      <c r="G127" s="414">
        <v>286</v>
      </c>
      <c r="H127" s="414">
        <v>236</v>
      </c>
      <c r="I127" s="414">
        <v>199</v>
      </c>
      <c r="J127" s="414">
        <v>652</v>
      </c>
      <c r="K127" s="414">
        <v>578</v>
      </c>
      <c r="L127" s="152">
        <f t="shared" si="22"/>
        <v>652</v>
      </c>
      <c r="M127" s="152">
        <f t="shared" si="23"/>
        <v>553</v>
      </c>
      <c r="N127" s="152">
        <f t="shared" si="24"/>
        <v>553</v>
      </c>
      <c r="O127" s="152">
        <f t="shared" si="25"/>
        <v>553</v>
      </c>
      <c r="P127" s="152">
        <f t="shared" si="26"/>
        <v>553</v>
      </c>
      <c r="Q127" s="152">
        <f t="shared" si="27"/>
        <v>553</v>
      </c>
      <c r="Y127" s="11"/>
      <c r="Z127" s="204"/>
    </row>
    <row r="128" spans="1:26" ht="15.75" hidden="1">
      <c r="A128" s="158"/>
      <c r="B128" s="229">
        <v>0.8</v>
      </c>
      <c r="C128" s="222">
        <f t="shared" si="21"/>
        <v>664</v>
      </c>
      <c r="D128" s="414">
        <v>664</v>
      </c>
      <c r="E128" s="414">
        <v>428</v>
      </c>
      <c r="F128" s="414">
        <v>491</v>
      </c>
      <c r="G128" s="414">
        <v>422</v>
      </c>
      <c r="H128" s="414">
        <v>348</v>
      </c>
      <c r="I128" s="414">
        <v>224</v>
      </c>
      <c r="J128" s="414">
        <v>689</v>
      </c>
      <c r="K128" s="414">
        <v>590</v>
      </c>
      <c r="L128" s="152">
        <f t="shared" si="22"/>
        <v>689</v>
      </c>
      <c r="M128" s="152">
        <f t="shared" si="23"/>
        <v>664</v>
      </c>
      <c r="N128" s="152">
        <f t="shared" si="24"/>
        <v>664</v>
      </c>
      <c r="O128" s="152">
        <f t="shared" si="25"/>
        <v>664</v>
      </c>
      <c r="P128" s="152">
        <f t="shared" si="26"/>
        <v>664</v>
      </c>
      <c r="Q128" s="152">
        <f t="shared" si="27"/>
        <v>664</v>
      </c>
      <c r="Y128" s="11"/>
      <c r="Z128" s="204"/>
    </row>
    <row r="129" spans="1:26" ht="15.75" hidden="1">
      <c r="A129" s="158"/>
      <c r="B129" s="229">
        <v>1</v>
      </c>
      <c r="C129" s="222">
        <f t="shared" si="21"/>
        <v>826</v>
      </c>
      <c r="D129" s="414">
        <v>826</v>
      </c>
      <c r="E129" s="414">
        <v>540</v>
      </c>
      <c r="F129" s="414">
        <v>509</v>
      </c>
      <c r="G129" s="414">
        <v>410</v>
      </c>
      <c r="H129" s="414">
        <v>385</v>
      </c>
      <c r="I129" s="414">
        <v>224</v>
      </c>
      <c r="J129" s="414">
        <v>733</v>
      </c>
      <c r="K129" s="414">
        <v>609</v>
      </c>
      <c r="L129" s="152">
        <f t="shared" si="22"/>
        <v>733</v>
      </c>
      <c r="M129" s="152">
        <f t="shared" si="23"/>
        <v>826</v>
      </c>
      <c r="N129" s="152">
        <f t="shared" si="24"/>
        <v>826</v>
      </c>
      <c r="O129" s="152">
        <f t="shared" si="25"/>
        <v>826</v>
      </c>
      <c r="P129" s="152">
        <f t="shared" si="26"/>
        <v>826</v>
      </c>
      <c r="Q129" s="152">
        <f t="shared" si="27"/>
        <v>826</v>
      </c>
      <c r="Y129" s="11"/>
      <c r="Z129" s="204"/>
    </row>
    <row r="130" spans="1:26" ht="15.75" hidden="1">
      <c r="A130" s="158"/>
      <c r="B130" s="229">
        <v>1.1</v>
      </c>
      <c r="C130" s="222">
        <f t="shared" si="21"/>
        <v>925</v>
      </c>
      <c r="D130" s="414">
        <v>925</v>
      </c>
      <c r="E130" s="414">
        <v>615</v>
      </c>
      <c r="F130" s="414">
        <v>534</v>
      </c>
      <c r="G130" s="414">
        <v>410</v>
      </c>
      <c r="H130" s="414">
        <v>397</v>
      </c>
      <c r="I130" s="414">
        <v>236</v>
      </c>
      <c r="J130" s="414">
        <v>764</v>
      </c>
      <c r="K130" s="414">
        <v>627</v>
      </c>
      <c r="L130" s="152">
        <f t="shared" si="22"/>
        <v>764</v>
      </c>
      <c r="M130" s="152">
        <f t="shared" si="23"/>
        <v>925</v>
      </c>
      <c r="N130" s="152">
        <f t="shared" si="24"/>
        <v>925</v>
      </c>
      <c r="O130" s="152">
        <f t="shared" si="25"/>
        <v>925</v>
      </c>
      <c r="P130" s="152">
        <f t="shared" si="26"/>
        <v>925</v>
      </c>
      <c r="Q130" s="152">
        <f t="shared" si="27"/>
        <v>925</v>
      </c>
      <c r="Y130" s="11"/>
      <c r="Z130" s="204"/>
    </row>
    <row r="131" spans="1:26" ht="16.5" hidden="1" thickBot="1">
      <c r="A131" s="158"/>
      <c r="B131" s="231">
        <v>1.2</v>
      </c>
      <c r="C131" s="232">
        <f t="shared" si="21"/>
        <v>956</v>
      </c>
      <c r="D131" s="414">
        <v>956</v>
      </c>
      <c r="E131" s="414">
        <v>633</v>
      </c>
      <c r="F131" s="414">
        <v>596</v>
      </c>
      <c r="G131" s="414">
        <v>416</v>
      </c>
      <c r="H131" s="414">
        <v>410</v>
      </c>
      <c r="I131" s="414">
        <v>236</v>
      </c>
      <c r="J131" s="414">
        <v>770</v>
      </c>
      <c r="K131" s="414">
        <v>633</v>
      </c>
      <c r="L131" s="152">
        <f t="shared" si="22"/>
        <v>770</v>
      </c>
      <c r="M131" s="152">
        <f t="shared" si="23"/>
        <v>956</v>
      </c>
      <c r="N131" s="152">
        <f t="shared" si="24"/>
        <v>956</v>
      </c>
      <c r="O131" s="152">
        <f t="shared" si="25"/>
        <v>956</v>
      </c>
      <c r="P131" s="152">
        <f t="shared" si="26"/>
        <v>956</v>
      </c>
      <c r="Q131" s="152">
        <f t="shared" si="27"/>
        <v>956</v>
      </c>
      <c r="Y131" s="11"/>
      <c r="Z131" s="204"/>
    </row>
    <row r="132" spans="1:26" ht="15.75" hidden="1">
      <c r="A132" s="158"/>
      <c r="B132" s="159"/>
      <c r="C132" s="160"/>
      <c r="D132" s="160"/>
      <c r="E132" s="160"/>
      <c r="F132" s="160"/>
      <c r="G132" s="159"/>
      <c r="H132" s="160"/>
      <c r="I132" s="2"/>
      <c r="J132" s="2"/>
      <c r="K132" s="2"/>
      <c r="Y132" s="11"/>
      <c r="Z132" s="204"/>
    </row>
    <row r="133" spans="1:26" ht="15.75" hidden="1">
      <c r="A133" s="158"/>
      <c r="B133" s="159"/>
      <c r="C133" s="160"/>
      <c r="D133" s="160"/>
      <c r="E133" s="160"/>
      <c r="F133" s="160"/>
      <c r="G133" s="159"/>
      <c r="H133" s="160"/>
      <c r="I133" s="2"/>
      <c r="J133" s="2"/>
      <c r="K133" s="2"/>
      <c r="Y133" s="11"/>
      <c r="Z133" s="204"/>
    </row>
    <row r="134" spans="1:26" ht="15.75" hidden="1">
      <c r="A134" s="158"/>
      <c r="B134" s="159"/>
      <c r="C134" s="160"/>
      <c r="D134" s="160"/>
      <c r="E134" s="160"/>
      <c r="F134" s="160"/>
      <c r="G134" s="159"/>
      <c r="H134" s="160"/>
      <c r="I134" s="2"/>
      <c r="J134" s="2"/>
      <c r="K134" s="2"/>
      <c r="Y134" s="11"/>
      <c r="Z134" s="204"/>
    </row>
    <row r="135" spans="1:26" ht="15.75" hidden="1">
      <c r="A135" s="158"/>
      <c r="B135" s="159"/>
      <c r="C135" s="160"/>
      <c r="D135" s="160"/>
      <c r="E135" s="160"/>
      <c r="F135" s="160"/>
      <c r="G135" s="159"/>
      <c r="H135" s="160"/>
      <c r="I135" s="2"/>
      <c r="J135" s="2"/>
      <c r="K135" s="2"/>
      <c r="Y135" s="11"/>
      <c r="Z135" s="204"/>
    </row>
    <row r="136" spans="1:26" ht="16.5" thickBot="1">
      <c r="A136" s="158"/>
      <c r="B136" s="159"/>
      <c r="C136" s="160"/>
      <c r="D136" s="160"/>
      <c r="E136" s="160"/>
      <c r="F136" s="160"/>
      <c r="G136" s="159"/>
      <c r="H136" s="160"/>
      <c r="I136" s="2"/>
      <c r="J136" s="2"/>
      <c r="K136" s="2"/>
      <c r="Y136" s="11"/>
      <c r="Z136" s="204"/>
    </row>
    <row r="137" spans="1:26" ht="17.25" thickBot="1" thickTop="1">
      <c r="A137" s="320"/>
      <c r="B137" s="376" t="s">
        <v>417</v>
      </c>
      <c r="C137" s="11"/>
      <c r="D137" s="11"/>
      <c r="E137" s="11"/>
      <c r="F137" s="11"/>
      <c r="G137" s="75"/>
      <c r="H137" s="11"/>
      <c r="I137" s="2"/>
      <c r="J137" s="2"/>
      <c r="K137" s="2"/>
      <c r="Y137" s="11"/>
      <c r="Z137" s="204"/>
    </row>
    <row r="138" spans="1:26" ht="16.5" thickTop="1">
      <c r="A138" s="74"/>
      <c r="B138" s="379" t="s">
        <v>11</v>
      </c>
      <c r="C138" s="314"/>
      <c r="D138" s="380"/>
      <c r="E138" s="11"/>
      <c r="F138" s="11"/>
      <c r="G138" s="75"/>
      <c r="H138" s="11"/>
      <c r="I138" s="2"/>
      <c r="J138" s="2"/>
      <c r="K138" s="2"/>
      <c r="Y138" s="11"/>
      <c r="Z138" s="204"/>
    </row>
    <row r="139" spans="1:26" ht="15.75">
      <c r="A139" s="74"/>
      <c r="B139" s="379" t="s">
        <v>12</v>
      </c>
      <c r="C139" s="316"/>
      <c r="D139" s="381"/>
      <c r="E139" s="11"/>
      <c r="F139" s="11"/>
      <c r="G139" s="75"/>
      <c r="H139" s="11"/>
      <c r="I139" s="2"/>
      <c r="J139" s="2"/>
      <c r="K139" s="2"/>
      <c r="Y139" s="11"/>
      <c r="Z139" s="204"/>
    </row>
    <row r="140" spans="1:26" ht="15.75">
      <c r="A140" s="74"/>
      <c r="B140" s="382" t="s">
        <v>381</v>
      </c>
      <c r="C140" s="316"/>
      <c r="D140" s="381"/>
      <c r="E140" s="11"/>
      <c r="F140" s="11"/>
      <c r="G140" s="75"/>
      <c r="H140" s="11"/>
      <c r="I140" s="2"/>
      <c r="J140" s="2"/>
      <c r="K140" s="2"/>
      <c r="Y140" s="11"/>
      <c r="Z140" s="204"/>
    </row>
    <row r="141" spans="1:26" ht="15.75">
      <c r="A141" s="74"/>
      <c r="B141" s="383" t="s">
        <v>360</v>
      </c>
      <c r="C141" s="316"/>
      <c r="D141" s="381"/>
      <c r="E141" s="11"/>
      <c r="F141" s="11"/>
      <c r="G141" s="75"/>
      <c r="H141" s="11"/>
      <c r="I141" s="2"/>
      <c r="J141" s="2"/>
      <c r="K141" s="2"/>
      <c r="Y141" s="11"/>
      <c r="Z141" s="204"/>
    </row>
    <row r="142" spans="1:26" ht="16.5" thickBot="1">
      <c r="A142" s="74"/>
      <c r="B142" s="377"/>
      <c r="C142" s="319"/>
      <c r="D142" s="378"/>
      <c r="E142" s="11"/>
      <c r="F142" s="11"/>
      <c r="G142" s="75"/>
      <c r="H142" s="11"/>
      <c r="I142" s="2"/>
      <c r="J142" s="2"/>
      <c r="K142" s="2"/>
      <c r="Y142" s="11"/>
      <c r="Z142" s="204"/>
    </row>
    <row r="143" spans="2:26" s="74" customFormat="1" ht="16.5" thickTop="1">
      <c r="B143" s="57"/>
      <c r="C143" s="135"/>
      <c r="D143" s="135"/>
      <c r="E143" s="11"/>
      <c r="F143" s="11"/>
      <c r="G143" s="75"/>
      <c r="H143" s="11"/>
      <c r="I143" s="11"/>
      <c r="J143" s="11"/>
      <c r="K143" s="11"/>
      <c r="Y143" s="11"/>
      <c r="Z143" s="204"/>
    </row>
    <row r="144" spans="1:26" ht="15.75">
      <c r="A144" s="320"/>
      <c r="B144" s="337"/>
      <c r="C144" s="338"/>
      <c r="D144" s="338"/>
      <c r="E144" s="338"/>
      <c r="F144" s="338"/>
      <c r="G144" s="75"/>
      <c r="H144" s="11"/>
      <c r="I144" s="2"/>
      <c r="J144" s="2"/>
      <c r="K144" s="2"/>
      <c r="Y144" s="11"/>
      <c r="Z144" s="204"/>
    </row>
    <row r="145" spans="1:26" ht="20.25">
      <c r="A145" s="11"/>
      <c r="B145" s="186"/>
      <c r="C145" s="330" t="s">
        <v>350</v>
      </c>
      <c r="D145" s="186"/>
      <c r="E145" s="186"/>
      <c r="F145" s="186"/>
      <c r="G145" s="74"/>
      <c r="H145" s="74"/>
      <c r="I145" s="2"/>
      <c r="J145" s="2"/>
      <c r="K145" s="2"/>
      <c r="Y145" s="11"/>
      <c r="Z145" s="204"/>
    </row>
    <row r="146" spans="1:26" ht="15.75">
      <c r="A146" s="11"/>
      <c r="B146" s="11"/>
      <c r="C146" s="11"/>
      <c r="D146" s="11"/>
      <c r="E146" s="11"/>
      <c r="F146" s="11"/>
      <c r="G146" s="75"/>
      <c r="H146" s="11"/>
      <c r="I146" s="2"/>
      <c r="J146" s="2"/>
      <c r="K146" s="2"/>
      <c r="Y146" s="11"/>
      <c r="Z146" s="204"/>
    </row>
    <row r="147" spans="1:26" ht="15.75">
      <c r="A147" s="100" t="s">
        <v>37</v>
      </c>
      <c r="B147" s="44" t="s">
        <v>341</v>
      </c>
      <c r="C147" s="44" t="s">
        <v>342</v>
      </c>
      <c r="D147" s="44" t="s">
        <v>343</v>
      </c>
      <c r="E147" s="44" t="s">
        <v>344</v>
      </c>
      <c r="F147" s="100" t="s">
        <v>406</v>
      </c>
      <c r="G147" s="75"/>
      <c r="H147" s="11"/>
      <c r="I147" s="2"/>
      <c r="J147" s="2"/>
      <c r="K147" s="2"/>
      <c r="Y147" s="11"/>
      <c r="Z147" s="204"/>
    </row>
    <row r="148" spans="1:26" ht="16.5" thickBot="1">
      <c r="A148" s="321">
        <v>920</v>
      </c>
      <c r="B148" s="81">
        <f>LOOKUP(A148,Cargos!A3:A314,Cargos!C3:C314)</f>
        <v>971</v>
      </c>
      <c r="C148" s="81">
        <f>LOOKUP(A148,Cargos!A3:A314,Cargos!E3:E314)</f>
        <v>150</v>
      </c>
      <c r="D148" s="81">
        <f>LOOKUP(A148,Cargos!A3:A314,Cargos!F3:F314)</f>
        <v>0</v>
      </c>
      <c r="E148" s="81">
        <f>LOOKUP(A148,Cargos!A3:A314,Cargos!G3:G314)</f>
        <v>0</v>
      </c>
      <c r="F148" s="44">
        <f>LOOKUP(A148,Cargos!A3:A314,puntoscompbasico)</f>
        <v>170</v>
      </c>
      <c r="G148" s="75"/>
      <c r="H148" s="11"/>
      <c r="I148" s="2"/>
      <c r="J148" s="2"/>
      <c r="K148" s="2"/>
      <c r="Y148" s="11"/>
      <c r="Z148" s="204"/>
    </row>
    <row r="149" spans="1:26" ht="16.5" thickBot="1">
      <c r="A149" s="322" t="s">
        <v>38</v>
      </c>
      <c r="B149" s="83" t="str">
        <f>LOOKUP(A148,Cargos!A3:A314,Cargos!B3:B314)</f>
        <v> MAESTRO DE GRUPO ESC. DIFERENCIADA</v>
      </c>
      <c r="C149" s="42"/>
      <c r="D149" s="42"/>
      <c r="E149" s="62"/>
      <c r="F149" s="11"/>
      <c r="G149" s="75"/>
      <c r="H149" s="11"/>
      <c r="I149" s="2"/>
      <c r="J149" s="2"/>
      <c r="K149" s="2"/>
      <c r="Y149" s="11"/>
      <c r="Z149" s="204"/>
    </row>
    <row r="150" spans="1:26" ht="16.5" thickBot="1">
      <c r="A150" s="320"/>
      <c r="B150" s="75"/>
      <c r="C150" s="11"/>
      <c r="D150" s="11"/>
      <c r="E150" s="11"/>
      <c r="F150" s="128" t="s">
        <v>364</v>
      </c>
      <c r="G150" s="75"/>
      <c r="H150" s="11"/>
      <c r="I150" s="2"/>
      <c r="J150" s="2"/>
      <c r="K150" s="2"/>
      <c r="Y150" s="11"/>
      <c r="Z150" s="204"/>
    </row>
    <row r="151" spans="1:26" ht="17.25" thickBot="1" thickTop="1">
      <c r="A151" s="320"/>
      <c r="B151" s="121" t="s">
        <v>358</v>
      </c>
      <c r="C151" s="122"/>
      <c r="D151" s="122"/>
      <c r="E151" s="127">
        <v>120</v>
      </c>
      <c r="F151" s="129">
        <f>E151/120</f>
        <v>1</v>
      </c>
      <c r="G151" s="75"/>
      <c r="H151" s="11"/>
      <c r="I151" s="2"/>
      <c r="J151" s="2"/>
      <c r="K151" s="2"/>
      <c r="Y151" s="11"/>
      <c r="Z151" s="204"/>
    </row>
    <row r="152" spans="1:26" ht="17.25" thickBot="1" thickTop="1">
      <c r="A152" s="320"/>
      <c r="B152" s="75"/>
      <c r="C152" s="11"/>
      <c r="D152" s="11"/>
      <c r="E152" s="336"/>
      <c r="F152" s="11"/>
      <c r="G152" s="75"/>
      <c r="H152" s="11"/>
      <c r="I152" s="2"/>
      <c r="J152" s="2"/>
      <c r="K152" s="2"/>
      <c r="Y152" s="11"/>
      <c r="Z152" s="204"/>
    </row>
    <row r="153" spans="1:26" ht="17.25" thickBot="1" thickTop="1">
      <c r="A153" s="320"/>
      <c r="B153" s="120" t="s">
        <v>366</v>
      </c>
      <c r="C153" s="415">
        <v>0</v>
      </c>
      <c r="D153" s="416" t="s">
        <v>439</v>
      </c>
      <c r="E153" s="417"/>
      <c r="F153" s="447">
        <v>0.82</v>
      </c>
      <c r="G153" s="75"/>
      <c r="H153" s="11"/>
      <c r="I153" s="2"/>
      <c r="J153" s="2"/>
      <c r="K153" s="2"/>
      <c r="Y153" s="11"/>
      <c r="Z153" s="204"/>
    </row>
    <row r="154" spans="1:32" ht="16.5" thickTop="1">
      <c r="A154" s="320"/>
      <c r="B154" s="75"/>
      <c r="C154" s="11"/>
      <c r="D154" s="11"/>
      <c r="E154" s="11"/>
      <c r="F154" s="11"/>
      <c r="G154" s="75"/>
      <c r="H154" s="11"/>
      <c r="I154" s="11"/>
      <c r="J154" s="11"/>
      <c r="K154" s="11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11"/>
      <c r="Z154" s="204"/>
      <c r="AA154" s="74"/>
      <c r="AB154" s="74"/>
      <c r="AC154" s="74"/>
      <c r="AD154" s="74"/>
      <c r="AE154" s="74"/>
      <c r="AF154" s="74"/>
    </row>
    <row r="155" spans="1:32" ht="11.25" customHeight="1" thickBot="1">
      <c r="A155" s="320"/>
      <c r="B155" s="75"/>
      <c r="C155" s="11"/>
      <c r="D155" s="11"/>
      <c r="E155" s="11"/>
      <c r="F155" s="11"/>
      <c r="G155" s="75"/>
      <c r="H155" s="11"/>
      <c r="I155" s="11"/>
      <c r="J155" s="11"/>
      <c r="K155" s="11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11"/>
      <c r="Z155" s="204"/>
      <c r="AA155" s="74"/>
      <c r="AB155" s="74"/>
      <c r="AC155" s="74"/>
      <c r="AD155" s="74"/>
      <c r="AE155" s="74"/>
      <c r="AF155" s="74"/>
    </row>
    <row r="156" spans="1:32" ht="16.5" thickBot="1">
      <c r="A156" s="74"/>
      <c r="B156" s="181" t="s">
        <v>14</v>
      </c>
      <c r="C156" s="182"/>
      <c r="D156" s="183">
        <v>1.2</v>
      </c>
      <c r="E156" s="74" t="s">
        <v>15</v>
      </c>
      <c r="F156" s="74"/>
      <c r="G156" s="74"/>
      <c r="H156" s="74"/>
      <c r="I156" s="331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</row>
    <row r="157" spans="1:32" ht="12" customHeight="1">
      <c r="A157" s="74"/>
      <c r="B157" s="11"/>
      <c r="C157" s="11"/>
      <c r="D157" s="332"/>
      <c r="E157" s="74"/>
      <c r="F157" s="74"/>
      <c r="G157" s="74"/>
      <c r="H157" s="74"/>
      <c r="I157" s="333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</row>
    <row r="158" spans="1:32" ht="18.75" thickBot="1">
      <c r="A158" s="74"/>
      <c r="B158" s="334" t="s">
        <v>16</v>
      </c>
      <c r="C158" s="334"/>
      <c r="D158" s="335">
        <f>B148</f>
        <v>971</v>
      </c>
      <c r="E158" s="74" t="s">
        <v>17</v>
      </c>
      <c r="F158" s="306" t="s">
        <v>407</v>
      </c>
      <c r="G158" s="404">
        <f>D148+E148</f>
        <v>0</v>
      </c>
      <c r="H158" s="11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</row>
    <row r="159" spans="1:32" ht="12.75" customHeight="1">
      <c r="A159" s="74"/>
      <c r="B159" s="11"/>
      <c r="C159" s="11"/>
      <c r="D159" s="332"/>
      <c r="E159" s="74"/>
      <c r="F159" s="74"/>
      <c r="G159" s="11"/>
      <c r="H159" s="259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</row>
    <row r="160" spans="1:12" ht="15.75">
      <c r="A160" s="74"/>
      <c r="B160" s="326" t="s">
        <v>423</v>
      </c>
      <c r="C160" s="74"/>
      <c r="D160" s="74"/>
      <c r="E160" s="74"/>
      <c r="F160" s="326" t="s">
        <v>459</v>
      </c>
      <c r="G160" s="74"/>
      <c r="H160" s="74"/>
      <c r="J160" s="326" t="s">
        <v>460</v>
      </c>
      <c r="K160" s="74"/>
      <c r="L160" s="74"/>
    </row>
    <row r="161" spans="1:12" ht="12.75" customHeight="1" thickBot="1">
      <c r="A161" s="74"/>
      <c r="B161" s="326"/>
      <c r="C161" s="74"/>
      <c r="D161" s="74"/>
      <c r="E161" s="74"/>
      <c r="F161" s="326"/>
      <c r="G161" s="74"/>
      <c r="H161" s="74"/>
      <c r="J161" s="326"/>
      <c r="K161" s="74"/>
      <c r="L161" s="74"/>
    </row>
    <row r="162" spans="1:12" ht="12.75">
      <c r="A162" s="74"/>
      <c r="B162" s="237">
        <v>400</v>
      </c>
      <c r="C162" s="238" t="s">
        <v>18</v>
      </c>
      <c r="D162" s="239">
        <f>punbasjub*indicefeb09*porjubcar*frac</f>
        <v>594.77634</v>
      </c>
      <c r="F162" s="237">
        <v>400</v>
      </c>
      <c r="G162" s="238" t="s">
        <v>18</v>
      </c>
      <c r="H162" s="239">
        <f>punbasjub*indicemar2010*porjubcar*frac</f>
        <v>672.089302</v>
      </c>
      <c r="J162" s="237">
        <v>400</v>
      </c>
      <c r="K162" s="238" t="s">
        <v>18</v>
      </c>
      <c r="L162" s="239">
        <f>punbasjub*indicejul2010*porjubcar*frac</f>
        <v>712.3780340000001</v>
      </c>
    </row>
    <row r="163" spans="1:12" ht="12.75">
      <c r="A163" s="74"/>
      <c r="B163" s="17">
        <v>542</v>
      </c>
      <c r="C163" s="17" t="s">
        <v>418</v>
      </c>
      <c r="D163" s="241">
        <f>compbasico*indicefeb09*porjubcar*frac</f>
        <v>104.13179999999998</v>
      </c>
      <c r="F163" s="17">
        <v>542</v>
      </c>
      <c r="G163" s="17" t="s">
        <v>418</v>
      </c>
      <c r="H163" s="241">
        <f>compbasico*indicemar2010*porjubcar*frac</f>
        <v>117.66753999999999</v>
      </c>
      <c r="J163" s="17">
        <v>542</v>
      </c>
      <c r="K163" s="17" t="s">
        <v>418</v>
      </c>
      <c r="L163" s="241">
        <f>compbasico*indicejul2010*porjubcar*frac</f>
        <v>124.72118</v>
      </c>
    </row>
    <row r="164" spans="1:12" ht="12.75">
      <c r="A164" s="74"/>
      <c r="B164" s="240">
        <v>404</v>
      </c>
      <c r="C164" s="374" t="s">
        <v>346</v>
      </c>
      <c r="D164" s="241">
        <f>C148*indicefeb09*porjubcar*frac</f>
        <v>91.88099999999999</v>
      </c>
      <c r="F164" s="240">
        <v>404</v>
      </c>
      <c r="G164" s="374" t="s">
        <v>346</v>
      </c>
      <c r="H164" s="241">
        <f>G148*indicemar2010*porjubcar*frac</f>
        <v>0</v>
      </c>
      <c r="J164" s="240">
        <v>404</v>
      </c>
      <c r="K164" s="374" t="s">
        <v>346</v>
      </c>
      <c r="L164" s="241">
        <f>K148*indicejul2010*porjubcar*frac</f>
        <v>0</v>
      </c>
    </row>
    <row r="165" spans="1:12" ht="12.75">
      <c r="A165" s="74"/>
      <c r="B165" s="240">
        <v>406</v>
      </c>
      <c r="C165" s="17" t="s">
        <v>19</v>
      </c>
      <c r="D165" s="241">
        <f>(D162+D163+D164+D167)*porcantigcargo</f>
        <v>948.946968</v>
      </c>
      <c r="F165" s="240">
        <v>406</v>
      </c>
      <c r="G165" s="17" t="s">
        <v>19</v>
      </c>
      <c r="H165" s="241">
        <f>(H162+H163+H164+H167)*porcantigcargo</f>
        <v>947.7082104</v>
      </c>
      <c r="J165" s="240">
        <v>406</v>
      </c>
      <c r="K165" s="17" t="s">
        <v>19</v>
      </c>
      <c r="L165" s="241">
        <f>(L162+L163+L164+L167)*porcantigcargo</f>
        <v>1004.5190568</v>
      </c>
    </row>
    <row r="166" spans="1:12" ht="12.75">
      <c r="A166" s="74"/>
      <c r="B166" s="240">
        <v>408</v>
      </c>
      <c r="C166" s="17" t="s">
        <v>365</v>
      </c>
      <c r="D166" s="241">
        <f>(D162+D163+D167)*porczona</f>
        <v>0</v>
      </c>
      <c r="F166" s="240">
        <v>408</v>
      </c>
      <c r="G166" s="17" t="s">
        <v>365</v>
      </c>
      <c r="H166" s="241">
        <f>(H162+H163+H167)*porczona</f>
        <v>0</v>
      </c>
      <c r="J166" s="240">
        <v>408</v>
      </c>
      <c r="K166" s="17" t="s">
        <v>365</v>
      </c>
      <c r="L166" s="241">
        <f>(L162+L163+L167)*porczona</f>
        <v>0</v>
      </c>
    </row>
    <row r="167" spans="1:12" ht="12.75">
      <c r="A167" s="74"/>
      <c r="B167" s="240">
        <v>416</v>
      </c>
      <c r="C167" s="90" t="s">
        <v>347</v>
      </c>
      <c r="D167" s="241">
        <f>puntosproljor*proljorfeb09*porjubcar*frac</f>
        <v>0</v>
      </c>
      <c r="F167" s="240">
        <v>416</v>
      </c>
      <c r="G167" s="90" t="s">
        <v>347</v>
      </c>
      <c r="H167" s="241">
        <f>puntosproljor*proljormar2010*porjubcar*frac</f>
        <v>0</v>
      </c>
      <c r="J167" s="240">
        <v>416</v>
      </c>
      <c r="K167" s="90" t="s">
        <v>347</v>
      </c>
      <c r="L167" s="241">
        <f>puntosproljor*proljorjul2010*porjubcar*frac</f>
        <v>0</v>
      </c>
    </row>
    <row r="168" spans="1:12" ht="12.75">
      <c r="A168" s="323"/>
      <c r="B168" s="240">
        <v>432</v>
      </c>
      <c r="C168" s="17" t="s">
        <v>363</v>
      </c>
      <c r="D168" s="241">
        <f>cod06feb09*porjubcar*frac</f>
        <v>631.4</v>
      </c>
      <c r="F168" s="240">
        <v>432</v>
      </c>
      <c r="G168" s="17" t="s">
        <v>363</v>
      </c>
      <c r="H168" s="241">
        <f>cod06feb09*aum06mar10*porjubcar*frac</f>
        <v>726.1099999999999</v>
      </c>
      <c r="J168" s="240">
        <v>432</v>
      </c>
      <c r="K168" s="17" t="s">
        <v>363</v>
      </c>
      <c r="L168" s="241">
        <f>cod06feb09*aum06jul10*porjubcar*frac</f>
        <v>784.1988</v>
      </c>
    </row>
    <row r="169" spans="1:12" ht="12.75">
      <c r="A169" s="323"/>
      <c r="B169" s="240">
        <v>434</v>
      </c>
      <c r="C169" s="17" t="s">
        <v>345</v>
      </c>
      <c r="D169" s="241">
        <f>(D162+D164+D165+D167+D168+D166)*0.07*0.95</f>
        <v>150.75578648200002</v>
      </c>
      <c r="F169" s="240">
        <v>434</v>
      </c>
      <c r="G169" s="17" t="s">
        <v>345</v>
      </c>
      <c r="H169" s="241">
        <f>(H162+H164+H165+H167+H168+H166)*0.07*0.95</f>
        <v>156.00284957460002</v>
      </c>
      <c r="J169" s="240">
        <v>434</v>
      </c>
      <c r="K169" s="17" t="s">
        <v>345</v>
      </c>
      <c r="L169" s="241">
        <f>(L162+L164+L165+L167+L168+L166)*0.07*0.95</f>
        <v>166.32287673820002</v>
      </c>
    </row>
    <row r="170" spans="1:12" ht="13.5" thickBot="1">
      <c r="A170" s="323"/>
      <c r="B170" s="240"/>
      <c r="C170" s="91" t="s">
        <v>361</v>
      </c>
      <c r="D170" s="243">
        <f>0</f>
        <v>0</v>
      </c>
      <c r="F170" s="240"/>
      <c r="G170" s="91" t="s">
        <v>361</v>
      </c>
      <c r="H170" s="243">
        <f>0</f>
        <v>0</v>
      </c>
      <c r="J170" s="240"/>
      <c r="K170" s="91" t="s">
        <v>361</v>
      </c>
      <c r="L170" s="243">
        <f>0</f>
        <v>0</v>
      </c>
    </row>
    <row r="171" spans="1:12" ht="16.5" thickBot="1">
      <c r="A171" s="323"/>
      <c r="B171" s="244"/>
      <c r="C171" s="93" t="s">
        <v>20</v>
      </c>
      <c r="D171" s="94">
        <f>SUM(D162:D170)</f>
        <v>2521.891894482</v>
      </c>
      <c r="F171" s="244"/>
      <c r="G171" s="93" t="s">
        <v>20</v>
      </c>
      <c r="H171" s="94">
        <f>SUM(H162:H170)</f>
        <v>2619.5779019745996</v>
      </c>
      <c r="J171" s="244"/>
      <c r="K171" s="93" t="s">
        <v>20</v>
      </c>
      <c r="L171" s="94">
        <f>SUM(L162:L170)</f>
        <v>2792.1399475382004</v>
      </c>
    </row>
    <row r="172" spans="1:12" ht="12.75">
      <c r="A172" s="323"/>
      <c r="B172" s="240">
        <v>703</v>
      </c>
      <c r="C172" s="95" t="s">
        <v>348</v>
      </c>
      <c r="D172" s="245">
        <f>(D171-D170)*0.0025</f>
        <v>6.304729736205001</v>
      </c>
      <c r="F172" s="240">
        <v>703</v>
      </c>
      <c r="G172" s="95" t="s">
        <v>348</v>
      </c>
      <c r="H172" s="245">
        <f>(H171-H170)*0.0025</f>
        <v>6.5489447549365</v>
      </c>
      <c r="J172" s="240">
        <v>703</v>
      </c>
      <c r="K172" s="95" t="s">
        <v>348</v>
      </c>
      <c r="L172" s="245">
        <f>(L171-L170)*0.0025</f>
        <v>6.980349868845501</v>
      </c>
    </row>
    <row r="173" spans="1:12" ht="12.75">
      <c r="A173" s="74"/>
      <c r="B173" s="246">
        <v>707</v>
      </c>
      <c r="C173" s="97" t="s">
        <v>22</v>
      </c>
      <c r="D173" s="247">
        <f>(D171-D170)*0.03</f>
        <v>75.65675683446</v>
      </c>
      <c r="F173" s="246">
        <v>707</v>
      </c>
      <c r="G173" s="97" t="s">
        <v>22</v>
      </c>
      <c r="H173" s="247">
        <f>(H171-H170)*0.03</f>
        <v>78.58733705923798</v>
      </c>
      <c r="J173" s="246">
        <v>707</v>
      </c>
      <c r="K173" s="97" t="s">
        <v>22</v>
      </c>
      <c r="L173" s="247">
        <f>(L171-L170)*0.03</f>
        <v>83.76419842614601</v>
      </c>
    </row>
    <row r="174" spans="1:12" ht="12.75">
      <c r="A174" s="172"/>
      <c r="B174" s="246">
        <v>709</v>
      </c>
      <c r="C174" s="97" t="s">
        <v>23</v>
      </c>
      <c r="D174" s="247">
        <f>(D171-D170)*0.0213</f>
        <v>53.716297352466604</v>
      </c>
      <c r="F174" s="246">
        <v>709</v>
      </c>
      <c r="G174" s="97" t="s">
        <v>23</v>
      </c>
      <c r="H174" s="247">
        <f>(H171-H170)*0.0213</f>
        <v>55.79700931205897</v>
      </c>
      <c r="J174" s="246">
        <v>709</v>
      </c>
      <c r="K174" s="97" t="s">
        <v>23</v>
      </c>
      <c r="L174" s="247">
        <f>(L171-L170)*0.0213</f>
        <v>59.47258088256367</v>
      </c>
    </row>
    <row r="175" spans="1:12" ht="12.75">
      <c r="A175" s="172"/>
      <c r="B175" s="248">
        <v>710</v>
      </c>
      <c r="C175" s="97" t="s">
        <v>24</v>
      </c>
      <c r="D175" s="247">
        <f>(D171-D170)*0.00754</f>
        <v>19.01506488439428</v>
      </c>
      <c r="F175" s="248">
        <v>710</v>
      </c>
      <c r="G175" s="97" t="s">
        <v>24</v>
      </c>
      <c r="H175" s="247">
        <f>(H171-H170)*0.00754</f>
        <v>19.75161738088848</v>
      </c>
      <c r="J175" s="248">
        <v>710</v>
      </c>
      <c r="K175" s="97" t="s">
        <v>24</v>
      </c>
      <c r="L175" s="247">
        <f>(L171-L170)*0.00754</f>
        <v>21.05273520443803</v>
      </c>
    </row>
    <row r="176" spans="1:12" ht="12.75">
      <c r="A176" s="172"/>
      <c r="B176" s="248">
        <v>713</v>
      </c>
      <c r="C176" s="97" t="s">
        <v>25</v>
      </c>
      <c r="D176" s="247">
        <f>(D171-D170)*0.007</f>
        <v>17.653243261374</v>
      </c>
      <c r="F176" s="248">
        <v>713</v>
      </c>
      <c r="G176" s="97" t="s">
        <v>25</v>
      </c>
      <c r="H176" s="247">
        <f>(H171-H170)*0.007</f>
        <v>18.3370453138222</v>
      </c>
      <c r="J176" s="248">
        <v>713</v>
      </c>
      <c r="K176" s="97" t="s">
        <v>25</v>
      </c>
      <c r="L176" s="247">
        <f>(L171-L170)*0.007</f>
        <v>19.544979632767404</v>
      </c>
    </row>
    <row r="177" spans="1:12" ht="13.5" thickBot="1">
      <c r="A177" s="173"/>
      <c r="B177" s="248"/>
      <c r="C177" s="98" t="s">
        <v>26</v>
      </c>
      <c r="D177" s="345">
        <v>0</v>
      </c>
      <c r="F177" s="248"/>
      <c r="G177" s="98" t="s">
        <v>26</v>
      </c>
      <c r="H177" s="345">
        <v>0</v>
      </c>
      <c r="J177" s="248"/>
      <c r="K177" s="98" t="s">
        <v>26</v>
      </c>
      <c r="L177" s="345">
        <v>0</v>
      </c>
    </row>
    <row r="178" spans="1:12" ht="16.5" thickBot="1">
      <c r="A178" s="323"/>
      <c r="B178" s="250"/>
      <c r="C178" s="93" t="s">
        <v>27</v>
      </c>
      <c r="D178" s="94">
        <f>SUM(D172:D177)</f>
        <v>172.3460920688999</v>
      </c>
      <c r="F178" s="250"/>
      <c r="G178" s="93" t="s">
        <v>27</v>
      </c>
      <c r="H178" s="94">
        <f>SUM(H172:H177)</f>
        <v>179.02195382094413</v>
      </c>
      <c r="J178" s="250"/>
      <c r="K178" s="93" t="s">
        <v>27</v>
      </c>
      <c r="L178" s="94">
        <f>SUM(L172:L177)</f>
        <v>190.8148440147606</v>
      </c>
    </row>
    <row r="179" spans="1:12" ht="13.5" thickBot="1">
      <c r="A179" s="323"/>
      <c r="B179" s="251"/>
      <c r="C179" s="101"/>
      <c r="D179" s="252"/>
      <c r="F179" s="251"/>
      <c r="G179" s="101"/>
      <c r="H179" s="252"/>
      <c r="J179" s="251"/>
      <c r="K179" s="101"/>
      <c r="L179" s="252"/>
    </row>
    <row r="180" spans="1:12" ht="16.5" thickBot="1">
      <c r="A180" s="74"/>
      <c r="B180" s="253"/>
      <c r="C180" s="104" t="s">
        <v>28</v>
      </c>
      <c r="D180" s="105">
        <f>D171-D178</f>
        <v>2349.5458024131003</v>
      </c>
      <c r="F180" s="253"/>
      <c r="G180" s="104" t="s">
        <v>28</v>
      </c>
      <c r="H180" s="105">
        <f>H171-H178</f>
        <v>2440.5559481536557</v>
      </c>
      <c r="J180" s="253"/>
      <c r="K180" s="104" t="s">
        <v>28</v>
      </c>
      <c r="L180" s="105">
        <f>L171-L178</f>
        <v>2601.32510352344</v>
      </c>
    </row>
    <row r="181" ht="12.75">
      <c r="A181" s="264"/>
    </row>
    <row r="182" spans="1:6" ht="18">
      <c r="A182" s="264"/>
      <c r="B182" s="235"/>
      <c r="C182" s="233"/>
      <c r="D182" s="234"/>
      <c r="E182" s="346"/>
      <c r="F182" s="347"/>
    </row>
    <row r="183" spans="1:10" ht="12.75">
      <c r="A183" s="74"/>
      <c r="B183" s="74"/>
      <c r="C183" s="74"/>
      <c r="D183" s="74"/>
      <c r="E183" s="74"/>
      <c r="F183" s="74"/>
      <c r="G183" s="74"/>
      <c r="H183" s="14"/>
      <c r="I183" s="11"/>
      <c r="J183" s="107"/>
    </row>
    <row r="184" spans="1:10" ht="12.75">
      <c r="A184" s="74"/>
      <c r="B184" s="74"/>
      <c r="C184" s="74"/>
      <c r="D184" s="74"/>
      <c r="E184" s="74"/>
      <c r="F184" s="74"/>
      <c r="G184" s="74"/>
      <c r="H184" s="14"/>
      <c r="I184" s="11"/>
      <c r="J184" s="107"/>
    </row>
    <row r="185" spans="1:10" ht="12.75">
      <c r="A185" s="74"/>
      <c r="B185" s="329"/>
      <c r="C185" s="329"/>
      <c r="D185" s="329"/>
      <c r="E185" s="329"/>
      <c r="F185" s="384"/>
      <c r="G185" s="74"/>
      <c r="H185" s="14"/>
      <c r="I185" s="11"/>
      <c r="J185" s="107"/>
    </row>
    <row r="186" spans="1:10" ht="20.25">
      <c r="A186" s="74"/>
      <c r="B186" s="330" t="s">
        <v>29</v>
      </c>
      <c r="C186" s="186"/>
      <c r="D186" s="186"/>
      <c r="E186" s="186"/>
      <c r="F186" s="74"/>
      <c r="G186" s="74"/>
      <c r="H186" s="14"/>
      <c r="I186" s="11"/>
      <c r="J186" s="107"/>
    </row>
    <row r="187" spans="1:10" ht="13.5" thickBot="1">
      <c r="A187" s="74"/>
      <c r="B187" s="74"/>
      <c r="C187" s="74"/>
      <c r="D187" s="74"/>
      <c r="E187" s="74"/>
      <c r="F187" s="74"/>
      <c r="G187" s="74"/>
      <c r="H187" s="14"/>
      <c r="I187" s="11"/>
      <c r="J187" s="107"/>
    </row>
    <row r="188" spans="1:10" ht="16.5" thickBot="1">
      <c r="A188" s="74"/>
      <c r="B188" s="108" t="s">
        <v>30</v>
      </c>
      <c r="C188" s="42"/>
      <c r="D188" s="12">
        <v>36</v>
      </c>
      <c r="E188" s="74"/>
      <c r="F188" s="327"/>
      <c r="G188" s="74"/>
      <c r="H188" s="14"/>
      <c r="I188" s="11"/>
      <c r="J188" s="11"/>
    </row>
    <row r="189" spans="1:10" ht="16.5" thickBot="1">
      <c r="A189" s="74"/>
      <c r="B189" s="84" t="s">
        <v>14</v>
      </c>
      <c r="C189" s="42"/>
      <c r="D189" s="119">
        <v>1.2</v>
      </c>
      <c r="E189" s="258"/>
      <c r="F189" s="328"/>
      <c r="G189" s="74"/>
      <c r="H189" s="14"/>
      <c r="I189" s="11"/>
      <c r="J189" s="109"/>
    </row>
    <row r="190" spans="1:10" ht="16.5" thickBot="1">
      <c r="A190" s="74"/>
      <c r="B190" s="416" t="s">
        <v>439</v>
      </c>
      <c r="C190" s="417"/>
      <c r="D190" s="447">
        <v>0.82</v>
      </c>
      <c r="E190" s="258"/>
      <c r="F190" s="328"/>
      <c r="G190" s="74"/>
      <c r="H190" s="14"/>
      <c r="I190" s="11"/>
      <c r="J190" s="109"/>
    </row>
    <row r="191" spans="1:10" ht="12.75">
      <c r="A191" s="74"/>
      <c r="E191" s="74"/>
      <c r="F191" s="74"/>
      <c r="G191" s="74"/>
      <c r="H191" s="14"/>
      <c r="I191" s="11"/>
      <c r="J191" s="110"/>
    </row>
    <row r="192" spans="1:10" ht="18.75" thickBot="1">
      <c r="A192" s="74"/>
      <c r="B192" s="87" t="s">
        <v>16</v>
      </c>
      <c r="C192" s="111"/>
      <c r="D192" s="88">
        <f>D188*64.73</f>
        <v>2330.28</v>
      </c>
      <c r="E192" s="258"/>
      <c r="F192" s="74"/>
      <c r="G192" s="74"/>
      <c r="H192" s="14"/>
      <c r="I192" s="75"/>
      <c r="J192" s="112"/>
    </row>
    <row r="193" spans="1:27" ht="18">
      <c r="A193" s="74"/>
      <c r="B193" s="324"/>
      <c r="C193" s="45"/>
      <c r="D193" s="325"/>
      <c r="E193" s="74"/>
      <c r="F193" s="74"/>
      <c r="G193" s="74"/>
      <c r="H193" s="323"/>
      <c r="I193" s="75"/>
      <c r="J193" s="112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</row>
    <row r="194" spans="1:12" ht="15.75">
      <c r="A194" s="259"/>
      <c r="B194" s="326" t="s">
        <v>423</v>
      </c>
      <c r="C194" s="74"/>
      <c r="D194" s="74"/>
      <c r="F194" s="326" t="s">
        <v>459</v>
      </c>
      <c r="G194" s="74"/>
      <c r="H194" s="74"/>
      <c r="J194" s="326" t="s">
        <v>460</v>
      </c>
      <c r="K194" s="74"/>
      <c r="L194" s="74"/>
    </row>
    <row r="195" spans="1:12" ht="13.5" thickBot="1">
      <c r="A195" s="74"/>
      <c r="B195" s="112"/>
      <c r="C195" s="74"/>
      <c r="D195" s="74"/>
      <c r="F195" s="112"/>
      <c r="G195" s="74"/>
      <c r="H195" s="74"/>
      <c r="J195" s="112"/>
      <c r="K195" s="74"/>
      <c r="L195" s="74"/>
    </row>
    <row r="196" spans="1:12" ht="12.75">
      <c r="A196" s="74"/>
      <c r="B196" s="237">
        <v>400</v>
      </c>
      <c r="C196" s="238" t="s">
        <v>18</v>
      </c>
      <c r="D196" s="239">
        <f>puntotalhorasmed*indicefeb09*porjubhormed</f>
        <v>1427.3897112</v>
      </c>
      <c r="F196" s="237">
        <v>400</v>
      </c>
      <c r="G196" s="238" t="s">
        <v>18</v>
      </c>
      <c r="H196" s="239">
        <f>puntotalhorasmed*indicemar2010*porjubhormed</f>
        <v>1612.93126536</v>
      </c>
      <c r="J196" s="237">
        <v>400</v>
      </c>
      <c r="K196" s="238" t="s">
        <v>18</v>
      </c>
      <c r="L196" s="239">
        <f>puntotalhorasmed*indicejul2010*porjubhormed</f>
        <v>1709.6192431200002</v>
      </c>
    </row>
    <row r="197" spans="1:12" ht="12.75">
      <c r="A197" s="74"/>
      <c r="B197" s="240">
        <v>406</v>
      </c>
      <c r="C197" s="17" t="s">
        <v>19</v>
      </c>
      <c r="D197" s="241">
        <f>D196*porcantighorasmed</f>
        <v>1712.86765344</v>
      </c>
      <c r="F197" s="240">
        <v>406</v>
      </c>
      <c r="G197" s="17" t="s">
        <v>19</v>
      </c>
      <c r="H197" s="241">
        <f>H196*porcantighorasmed</f>
        <v>1935.5175184319999</v>
      </c>
      <c r="J197" s="240">
        <v>406</v>
      </c>
      <c r="K197" s="17" t="s">
        <v>19</v>
      </c>
      <c r="L197" s="241">
        <f>L196*porcantighorasmed</f>
        <v>2051.5430917440003</v>
      </c>
    </row>
    <row r="198" spans="1:12" ht="12.75">
      <c r="A198" s="323"/>
      <c r="B198" s="240">
        <v>432</v>
      </c>
      <c r="C198" s="17" t="s">
        <v>349</v>
      </c>
      <c r="D198" s="242">
        <f>IF(numhorasmed&gt;30,282,cod06medsep07*numhorasmed)*porjubhormed</f>
        <v>231.23999999999998</v>
      </c>
      <c r="F198" s="240">
        <v>432</v>
      </c>
      <c r="G198" s="17" t="s">
        <v>349</v>
      </c>
      <c r="H198" s="242">
        <f>IF(numhorasmed&gt;30,282,cod06medsep07*numhorasmed)*porjubhormed*aum06mar10</f>
        <v>265.92599999999993</v>
      </c>
      <c r="J198" s="240">
        <v>432</v>
      </c>
      <c r="K198" s="17" t="s">
        <v>349</v>
      </c>
      <c r="L198" s="242">
        <f>IF(numhorasmed&gt;30,282,cod06medsep07*numhorasmed)*porjubhormed*aum06jul10</f>
        <v>287.20007999999996</v>
      </c>
    </row>
    <row r="199" spans="1:12" ht="12.75">
      <c r="A199" s="323"/>
      <c r="B199" s="240">
        <v>434</v>
      </c>
      <c r="C199" s="17" t="s">
        <v>345</v>
      </c>
      <c r="D199" s="241">
        <f>(D196+D197+D198)*0.07*0.95</f>
        <v>224.20457474856</v>
      </c>
      <c r="F199" s="240">
        <v>434</v>
      </c>
      <c r="G199" s="17" t="s">
        <v>345</v>
      </c>
      <c r="H199" s="241">
        <f>(H196+H197+H198)*0.07*0.95</f>
        <v>253.65592312216796</v>
      </c>
      <c r="J199" s="240">
        <v>434</v>
      </c>
      <c r="K199" s="17" t="s">
        <v>345</v>
      </c>
      <c r="L199" s="241">
        <f>(L196+L197+L198)*0.07*0.95</f>
        <v>269.216100588456</v>
      </c>
    </row>
    <row r="200" spans="1:12" ht="13.5" thickBot="1">
      <c r="A200" s="323"/>
      <c r="B200" s="240"/>
      <c r="C200" s="91" t="s">
        <v>361</v>
      </c>
      <c r="D200" s="243">
        <v>0</v>
      </c>
      <c r="F200" s="240"/>
      <c r="G200" s="91" t="s">
        <v>361</v>
      </c>
      <c r="H200" s="243">
        <v>0</v>
      </c>
      <c r="J200" s="240"/>
      <c r="K200" s="91" t="s">
        <v>361</v>
      </c>
      <c r="L200" s="243">
        <v>0</v>
      </c>
    </row>
    <row r="201" spans="1:12" ht="13.5" thickBot="1">
      <c r="A201" s="323"/>
      <c r="B201" s="244"/>
      <c r="C201" s="93" t="s">
        <v>20</v>
      </c>
      <c r="D201" s="113">
        <f>SUM(D196:D200)</f>
        <v>3595.7019393885594</v>
      </c>
      <c r="F201" s="244"/>
      <c r="G201" s="93" t="s">
        <v>20</v>
      </c>
      <c r="H201" s="113">
        <f>SUM(H196:H200)</f>
        <v>4068.0307069141677</v>
      </c>
      <c r="J201" s="244"/>
      <c r="K201" s="93" t="s">
        <v>20</v>
      </c>
      <c r="L201" s="113">
        <f>SUM(L196:L200)</f>
        <v>4317.5785154524565</v>
      </c>
    </row>
    <row r="202" spans="1:12" ht="12.75">
      <c r="A202" s="323"/>
      <c r="B202" s="240">
        <v>703</v>
      </c>
      <c r="C202" s="95" t="s">
        <v>21</v>
      </c>
      <c r="D202" s="245">
        <f>(D201-D200)*0.0025</f>
        <v>8.989254848471399</v>
      </c>
      <c r="F202" s="240">
        <v>703</v>
      </c>
      <c r="G202" s="95" t="s">
        <v>21</v>
      </c>
      <c r="H202" s="245">
        <f>(H201-H200)*0.0025</f>
        <v>10.170076767285419</v>
      </c>
      <c r="J202" s="240">
        <v>703</v>
      </c>
      <c r="K202" s="95" t="s">
        <v>21</v>
      </c>
      <c r="L202" s="245">
        <f>(L201-L200)*0.0025</f>
        <v>10.793946288631142</v>
      </c>
    </row>
    <row r="203" spans="1:12" ht="12.75">
      <c r="A203" s="74"/>
      <c r="B203" s="246">
        <v>707</v>
      </c>
      <c r="C203" s="97" t="s">
        <v>22</v>
      </c>
      <c r="D203" s="247">
        <f>(D201-D200)*0.03</f>
        <v>107.87105818165678</v>
      </c>
      <c r="F203" s="246">
        <v>707</v>
      </c>
      <c r="G203" s="97" t="s">
        <v>22</v>
      </c>
      <c r="H203" s="247">
        <f>(H201-H200)*0.03</f>
        <v>122.04092120742503</v>
      </c>
      <c r="J203" s="246">
        <v>707</v>
      </c>
      <c r="K203" s="97" t="s">
        <v>22</v>
      </c>
      <c r="L203" s="247">
        <f>(L201-L200)*0.03</f>
        <v>129.52735546357368</v>
      </c>
    </row>
    <row r="204" spans="1:12" ht="12.75">
      <c r="A204" s="172"/>
      <c r="B204" s="246">
        <v>709</v>
      </c>
      <c r="C204" s="97" t="s">
        <v>23</v>
      </c>
      <c r="D204" s="247">
        <f>(D201-D200)*0.0213</f>
        <v>76.58845130897632</v>
      </c>
      <c r="F204" s="246">
        <v>709</v>
      </c>
      <c r="G204" s="97" t="s">
        <v>23</v>
      </c>
      <c r="H204" s="247">
        <f>(H201-H200)*0.0213</f>
        <v>86.64905405727177</v>
      </c>
      <c r="J204" s="246">
        <v>709</v>
      </c>
      <c r="K204" s="97" t="s">
        <v>23</v>
      </c>
      <c r="L204" s="247">
        <f>(L201-L200)*0.0213</f>
        <v>91.96442237913732</v>
      </c>
    </row>
    <row r="205" spans="1:12" ht="12.75">
      <c r="A205" s="172"/>
      <c r="B205" s="248">
        <v>710</v>
      </c>
      <c r="C205" s="97" t="s">
        <v>24</v>
      </c>
      <c r="D205" s="254">
        <f>(D201-D200)*0.00754</f>
        <v>27.111592622989736</v>
      </c>
      <c r="F205" s="248">
        <v>710</v>
      </c>
      <c r="G205" s="97" t="s">
        <v>24</v>
      </c>
      <c r="H205" s="254">
        <f>(H201-H200)*0.00754</f>
        <v>30.672951530132824</v>
      </c>
      <c r="J205" s="248">
        <v>710</v>
      </c>
      <c r="K205" s="97" t="s">
        <v>24</v>
      </c>
      <c r="L205" s="254">
        <f>(L201-L200)*0.00754</f>
        <v>32.55454200651152</v>
      </c>
    </row>
    <row r="206" spans="1:12" ht="12.75">
      <c r="A206" s="172"/>
      <c r="B206" s="248">
        <v>713</v>
      </c>
      <c r="C206" s="97" t="s">
        <v>25</v>
      </c>
      <c r="D206" s="247">
        <f>(D201-D200)*0.007</f>
        <v>25.169913575719917</v>
      </c>
      <c r="F206" s="248">
        <v>713</v>
      </c>
      <c r="G206" s="97" t="s">
        <v>25</v>
      </c>
      <c r="H206" s="247">
        <f>(H201-H200)*0.007</f>
        <v>28.476214948399175</v>
      </c>
      <c r="J206" s="248">
        <v>713</v>
      </c>
      <c r="K206" s="97" t="s">
        <v>25</v>
      </c>
      <c r="L206" s="247">
        <f>(L201-L200)*0.007</f>
        <v>30.223049608167194</v>
      </c>
    </row>
    <row r="207" spans="1:12" ht="13.5" thickBot="1">
      <c r="A207" s="173"/>
      <c r="B207" s="248"/>
      <c r="C207" s="98" t="s">
        <v>26</v>
      </c>
      <c r="D207" s="249">
        <v>0</v>
      </c>
      <c r="F207" s="248"/>
      <c r="G207" s="98" t="s">
        <v>26</v>
      </c>
      <c r="H207" s="249">
        <v>0</v>
      </c>
      <c r="J207" s="248"/>
      <c r="K207" s="98" t="s">
        <v>26</v>
      </c>
      <c r="L207" s="249">
        <v>0</v>
      </c>
    </row>
    <row r="208" spans="1:12" ht="13.5" thickBot="1">
      <c r="A208" s="323"/>
      <c r="B208" s="250"/>
      <c r="C208" s="93" t="s">
        <v>27</v>
      </c>
      <c r="D208" s="114">
        <f>SUM(D202:D207)</f>
        <v>245.7302705378142</v>
      </c>
      <c r="F208" s="250"/>
      <c r="G208" s="93" t="s">
        <v>27</v>
      </c>
      <c r="H208" s="114">
        <f>SUM(H202:H207)</f>
        <v>278.0092185105142</v>
      </c>
      <c r="J208" s="250"/>
      <c r="K208" s="93" t="s">
        <v>27</v>
      </c>
      <c r="L208" s="114">
        <f>SUM(L202:L207)</f>
        <v>295.0633157460208</v>
      </c>
    </row>
    <row r="209" spans="1:12" ht="13.5" thickBot="1">
      <c r="A209" s="323"/>
      <c r="B209" s="251"/>
      <c r="C209" s="101"/>
      <c r="D209" s="252"/>
      <c r="F209" s="251"/>
      <c r="G209" s="101"/>
      <c r="H209" s="252"/>
      <c r="J209" s="251"/>
      <c r="K209" s="101"/>
      <c r="L209" s="252"/>
    </row>
    <row r="210" spans="1:12" ht="13.5" thickBot="1">
      <c r="A210" s="74"/>
      <c r="B210" s="253"/>
      <c r="C210" s="104" t="s">
        <v>28</v>
      </c>
      <c r="D210" s="115">
        <f>D201-D208</f>
        <v>3349.971668850745</v>
      </c>
      <c r="F210" s="253"/>
      <c r="G210" s="104" t="s">
        <v>28</v>
      </c>
      <c r="H210" s="115">
        <f>H201-H208</f>
        <v>3790.0214884036536</v>
      </c>
      <c r="J210" s="253"/>
      <c r="K210" s="104" t="s">
        <v>28</v>
      </c>
      <c r="L210" s="115">
        <f>L201-L208</f>
        <v>4022.515199706436</v>
      </c>
    </row>
    <row r="211" ht="12.75">
      <c r="A211" s="74"/>
    </row>
    <row r="212" spans="1:7" ht="12.75">
      <c r="A212" s="74"/>
      <c r="B212" s="339"/>
      <c r="C212" s="74"/>
      <c r="D212" s="74"/>
      <c r="E212" s="74"/>
      <c r="F212" s="74"/>
      <c r="G212" s="74"/>
    </row>
    <row r="213" spans="1:7" ht="12.75">
      <c r="A213" s="74"/>
      <c r="B213" s="339"/>
      <c r="C213" s="74"/>
      <c r="D213" s="74"/>
      <c r="E213" s="74"/>
      <c r="F213" s="74"/>
      <c r="G213" s="74"/>
    </row>
    <row r="214" spans="1:10" ht="12.75">
      <c r="A214" s="74"/>
      <c r="B214" s="342"/>
      <c r="C214" s="342"/>
      <c r="D214" s="342"/>
      <c r="E214" s="342"/>
      <c r="F214" s="74"/>
      <c r="G214" s="74"/>
      <c r="H214" s="14"/>
      <c r="I214" s="11"/>
      <c r="J214" s="11"/>
    </row>
    <row r="215" spans="1:10" ht="20.25">
      <c r="A215" s="74"/>
      <c r="B215" s="330" t="s">
        <v>31</v>
      </c>
      <c r="C215" s="186"/>
      <c r="D215" s="186"/>
      <c r="E215" s="186"/>
      <c r="F215" s="74"/>
      <c r="G215" s="74"/>
      <c r="H215" s="14"/>
      <c r="I215" s="11"/>
      <c r="J215" s="11"/>
    </row>
    <row r="216" spans="1:10" ht="13.5" thickBot="1">
      <c r="A216" s="74"/>
      <c r="B216" s="74"/>
      <c r="C216" s="74"/>
      <c r="D216" s="74"/>
      <c r="E216" s="74"/>
      <c r="F216" s="74"/>
      <c r="G216" s="74"/>
      <c r="H216" s="14"/>
      <c r="I216" s="11"/>
      <c r="J216" s="11"/>
    </row>
    <row r="217" spans="1:10" ht="16.5" thickBot="1">
      <c r="A217" s="74"/>
      <c r="B217" s="108" t="s">
        <v>30</v>
      </c>
      <c r="C217" s="42"/>
      <c r="D217" s="12">
        <v>36</v>
      </c>
      <c r="E217" s="74"/>
      <c r="F217" s="74"/>
      <c r="G217" s="331"/>
      <c r="H217" s="14"/>
      <c r="I217" s="11"/>
      <c r="J217" s="109"/>
    </row>
    <row r="218" spans="1:10" ht="16.5" thickBot="1">
      <c r="A218" s="74"/>
      <c r="B218" s="84" t="s">
        <v>14</v>
      </c>
      <c r="C218" s="42"/>
      <c r="D218" s="131">
        <v>1.2</v>
      </c>
      <c r="E218" s="258"/>
      <c r="F218" s="74"/>
      <c r="G218" s="74"/>
      <c r="H218" s="14"/>
      <c r="I218" s="11"/>
      <c r="J218" s="110"/>
    </row>
    <row r="219" spans="1:10" ht="16.5" thickBot="1">
      <c r="A219" s="74"/>
      <c r="B219" s="416" t="s">
        <v>439</v>
      </c>
      <c r="C219" s="417"/>
      <c r="D219" s="447">
        <v>0.82</v>
      </c>
      <c r="E219" s="258"/>
      <c r="F219" s="74"/>
      <c r="G219" s="74"/>
      <c r="H219" s="14"/>
      <c r="I219" s="11"/>
      <c r="J219" s="110"/>
    </row>
    <row r="220" spans="1:10" ht="12.75">
      <c r="A220" s="74"/>
      <c r="E220" s="74"/>
      <c r="F220" s="340"/>
      <c r="G220" s="74"/>
      <c r="H220" s="14"/>
      <c r="I220" s="75"/>
      <c r="J220" s="112"/>
    </row>
    <row r="221" spans="1:10" ht="18.75" thickBot="1">
      <c r="A221" s="74"/>
      <c r="B221" s="87" t="s">
        <v>16</v>
      </c>
      <c r="C221" s="111"/>
      <c r="D221" s="116">
        <f>D217*86.9</f>
        <v>3128.4</v>
      </c>
      <c r="E221" s="74" t="s">
        <v>32</v>
      </c>
      <c r="F221" s="327"/>
      <c r="G221" s="323"/>
      <c r="H221" s="14"/>
      <c r="I221" s="11"/>
      <c r="J221" s="112"/>
    </row>
    <row r="222" spans="1:10" ht="12.75">
      <c r="A222" s="74"/>
      <c r="B222" s="74"/>
      <c r="C222" s="74"/>
      <c r="D222" s="74"/>
      <c r="E222" s="74"/>
      <c r="F222" s="74"/>
      <c r="G222" s="74"/>
      <c r="H222" s="14"/>
      <c r="I222" s="11"/>
      <c r="J222" s="11"/>
    </row>
    <row r="223" spans="1:10" ht="12.75">
      <c r="A223" s="74"/>
      <c r="B223" s="11"/>
      <c r="C223" s="11"/>
      <c r="D223" s="341"/>
      <c r="E223" s="74"/>
      <c r="F223" s="74"/>
      <c r="G223" s="74"/>
      <c r="H223" s="14"/>
      <c r="I223" s="11"/>
      <c r="J223" s="75"/>
    </row>
    <row r="224" spans="1:12" ht="15.75">
      <c r="A224" s="259"/>
      <c r="B224" s="326" t="s">
        <v>423</v>
      </c>
      <c r="C224" s="74"/>
      <c r="D224" s="74"/>
      <c r="F224" s="326" t="s">
        <v>459</v>
      </c>
      <c r="G224" s="74"/>
      <c r="H224" s="74"/>
      <c r="J224" s="326" t="s">
        <v>460</v>
      </c>
      <c r="K224" s="74"/>
      <c r="L224" s="74"/>
    </row>
    <row r="225" spans="1:12" ht="13.5" thickBot="1">
      <c r="A225" s="74"/>
      <c r="B225" s="74"/>
      <c r="C225" s="74"/>
      <c r="D225" s="74"/>
      <c r="F225" s="74"/>
      <c r="G225" s="74"/>
      <c r="H225" s="74"/>
      <c r="J225" s="74"/>
      <c r="K225" s="74"/>
      <c r="L225" s="74"/>
    </row>
    <row r="226" spans="1:12" ht="12.75">
      <c r="A226" s="74"/>
      <c r="B226" s="237">
        <v>400</v>
      </c>
      <c r="C226" s="238" t="s">
        <v>18</v>
      </c>
      <c r="D226" s="239">
        <f>puntostotalhorassup*indicefeb09*porjubhorsup</f>
        <v>1916.2701359999999</v>
      </c>
      <c r="F226" s="237">
        <v>400</v>
      </c>
      <c r="G226" s="238" t="s">
        <v>18</v>
      </c>
      <c r="H226" s="239">
        <f>puntostotalhorassup*indicemar2010*porjubhorsup</f>
        <v>2165.3596008</v>
      </c>
      <c r="J226" s="237">
        <v>400</v>
      </c>
      <c r="K226" s="238" t="s">
        <v>18</v>
      </c>
      <c r="L226" s="239">
        <f>puntostotalhorassup*indicejul2010*porjubhorsup</f>
        <v>2295.1631736000004</v>
      </c>
    </row>
    <row r="227" spans="1:12" ht="12.75">
      <c r="A227" s="74"/>
      <c r="B227" s="240">
        <v>406</v>
      </c>
      <c r="C227" s="17" t="s">
        <v>19</v>
      </c>
      <c r="D227" s="241">
        <f>D226*porcantigsup</f>
        <v>2299.5241631999997</v>
      </c>
      <c r="F227" s="240">
        <v>406</v>
      </c>
      <c r="G227" s="17" t="s">
        <v>19</v>
      </c>
      <c r="H227" s="241">
        <f>H226*porcantigsup</f>
        <v>2598.43152096</v>
      </c>
      <c r="J227" s="240">
        <v>406</v>
      </c>
      <c r="K227" s="17" t="s">
        <v>19</v>
      </c>
      <c r="L227" s="241">
        <f>L226*porcantigsup</f>
        <v>2754.19580832</v>
      </c>
    </row>
    <row r="228" spans="1:12" ht="12.75">
      <c r="A228" s="323"/>
      <c r="B228" s="240">
        <v>432</v>
      </c>
      <c r="C228" s="17" t="s">
        <v>349</v>
      </c>
      <c r="D228" s="242">
        <f>IF(numhorassup&gt;15,141,cod06supsep07*numhorassup)*porjubhorsup</f>
        <v>115.61999999999999</v>
      </c>
      <c r="F228" s="240">
        <v>432</v>
      </c>
      <c r="G228" s="17" t="s">
        <v>349</v>
      </c>
      <c r="H228" s="242">
        <f>IF(numhorassup&gt;15,141,cod06supsep07*numhorassup)*porjubhorsup*aum06mar10</f>
        <v>132.96299999999997</v>
      </c>
      <c r="J228" s="240">
        <v>432</v>
      </c>
      <c r="K228" s="17" t="s">
        <v>349</v>
      </c>
      <c r="L228" s="242">
        <f>IF(numhorassup&gt;15,141,cod06supsep07*numhorassup)*porjubhorsup*aum06jul10</f>
        <v>143.60003999999998</v>
      </c>
    </row>
    <row r="229" spans="1:12" ht="12.75">
      <c r="A229" s="323"/>
      <c r="B229" s="240">
        <v>434</v>
      </c>
      <c r="C229" s="17" t="s">
        <v>345</v>
      </c>
      <c r="D229" s="241">
        <f>(D226+D227+D228)*0.07*0.95</f>
        <v>288.0390508968</v>
      </c>
      <c r="F229" s="240">
        <v>434</v>
      </c>
      <c r="G229" s="17" t="s">
        <v>345</v>
      </c>
      <c r="H229" s="241">
        <f>(H226+H227+H228)*0.07*0.95</f>
        <v>325.63414909703994</v>
      </c>
      <c r="J229" s="240">
        <v>434</v>
      </c>
      <c r="K229" s="17" t="s">
        <v>345</v>
      </c>
      <c r="L229" s="241">
        <f>(L226+L227+L228)*0.07*0.95</f>
        <v>345.33177495768007</v>
      </c>
    </row>
    <row r="230" spans="1:12" ht="13.5" thickBot="1">
      <c r="A230" s="323"/>
      <c r="B230" s="240"/>
      <c r="C230" s="91" t="s">
        <v>361</v>
      </c>
      <c r="D230" s="243">
        <v>0</v>
      </c>
      <c r="F230" s="240"/>
      <c r="G230" s="91" t="s">
        <v>361</v>
      </c>
      <c r="H230" s="243">
        <v>0</v>
      </c>
      <c r="J230" s="240"/>
      <c r="K230" s="91" t="s">
        <v>361</v>
      </c>
      <c r="L230" s="243">
        <v>0</v>
      </c>
    </row>
    <row r="231" spans="1:12" ht="13.5" thickBot="1">
      <c r="A231" s="323"/>
      <c r="B231" s="244"/>
      <c r="C231" s="93" t="s">
        <v>20</v>
      </c>
      <c r="D231" s="113">
        <f>SUM(D226:D230)</f>
        <v>4619.4533500968</v>
      </c>
      <c r="F231" s="244"/>
      <c r="G231" s="93" t="s">
        <v>20</v>
      </c>
      <c r="H231" s="113">
        <f>SUM(H226:H230)</f>
        <v>5222.388270857039</v>
      </c>
      <c r="J231" s="244"/>
      <c r="K231" s="93" t="s">
        <v>20</v>
      </c>
      <c r="L231" s="113">
        <f>SUM(L226:L230)</f>
        <v>5538.290796877681</v>
      </c>
    </row>
    <row r="232" spans="1:12" ht="12.75">
      <c r="A232" s="323"/>
      <c r="B232" s="240">
        <v>703</v>
      </c>
      <c r="C232" s="95" t="s">
        <v>21</v>
      </c>
      <c r="D232" s="245">
        <f>(D231-D230)*0.0025</f>
        <v>11.548633375242</v>
      </c>
      <c r="F232" s="240">
        <v>703</v>
      </c>
      <c r="G232" s="95" t="s">
        <v>21</v>
      </c>
      <c r="H232" s="245">
        <f>(H231-H230)*0.0025</f>
        <v>13.055970677142598</v>
      </c>
      <c r="J232" s="240">
        <v>703</v>
      </c>
      <c r="K232" s="95" t="s">
        <v>21</v>
      </c>
      <c r="L232" s="245">
        <f>(L231-L230)*0.0025</f>
        <v>13.845726992194201</v>
      </c>
    </row>
    <row r="233" spans="1:12" ht="12.75">
      <c r="A233" s="74"/>
      <c r="B233" s="246">
        <v>707</v>
      </c>
      <c r="C233" s="97" t="s">
        <v>22</v>
      </c>
      <c r="D233" s="247">
        <f>(D231-D230)*0.03</f>
        <v>138.583600502904</v>
      </c>
      <c r="F233" s="246">
        <v>707</v>
      </c>
      <c r="G233" s="97" t="s">
        <v>22</v>
      </c>
      <c r="H233" s="247">
        <f>(H231-H230)*0.03</f>
        <v>156.67164812571116</v>
      </c>
      <c r="J233" s="246">
        <v>707</v>
      </c>
      <c r="K233" s="97" t="s">
        <v>22</v>
      </c>
      <c r="L233" s="247">
        <f>(L231-L230)*0.03</f>
        <v>166.14872390633042</v>
      </c>
    </row>
    <row r="234" spans="1:12" ht="12.75">
      <c r="A234" s="172"/>
      <c r="B234" s="246">
        <v>709</v>
      </c>
      <c r="C234" s="97" t="s">
        <v>23</v>
      </c>
      <c r="D234" s="247">
        <f>(D231-D230)*0.0213</f>
        <v>98.39435635706184</v>
      </c>
      <c r="F234" s="246">
        <v>709</v>
      </c>
      <c r="G234" s="97" t="s">
        <v>23</v>
      </c>
      <c r="H234" s="247">
        <f>(H231-H230)*0.0213</f>
        <v>111.23687016925493</v>
      </c>
      <c r="J234" s="246">
        <v>709</v>
      </c>
      <c r="K234" s="97" t="s">
        <v>23</v>
      </c>
      <c r="L234" s="247">
        <f>(L231-L230)*0.0213</f>
        <v>117.96559397349459</v>
      </c>
    </row>
    <row r="235" spans="1:12" ht="12.75">
      <c r="A235" s="172"/>
      <c r="B235" s="248">
        <v>710</v>
      </c>
      <c r="C235" s="97" t="s">
        <v>24</v>
      </c>
      <c r="D235" s="247">
        <f>(D231-D230)*0.00754</f>
        <v>34.83067825972987</v>
      </c>
      <c r="F235" s="248">
        <v>710</v>
      </c>
      <c r="G235" s="97" t="s">
        <v>24</v>
      </c>
      <c r="H235" s="247">
        <f>(H231-H230)*0.00754</f>
        <v>39.37680756226207</v>
      </c>
      <c r="J235" s="248">
        <v>710</v>
      </c>
      <c r="K235" s="97" t="s">
        <v>24</v>
      </c>
      <c r="L235" s="247">
        <f>(L231-L230)*0.00754</f>
        <v>41.758712608457714</v>
      </c>
    </row>
    <row r="236" spans="1:12" ht="12.75">
      <c r="A236" s="172"/>
      <c r="B236" s="248">
        <v>713</v>
      </c>
      <c r="C236" s="97" t="s">
        <v>25</v>
      </c>
      <c r="D236" s="247">
        <f>(D231-D230)*0.007</f>
        <v>32.3361734506776</v>
      </c>
      <c r="F236" s="248">
        <v>713</v>
      </c>
      <c r="G236" s="97" t="s">
        <v>25</v>
      </c>
      <c r="H236" s="247">
        <f>(H231-H230)*0.007</f>
        <v>36.55671789599928</v>
      </c>
      <c r="J236" s="248">
        <v>713</v>
      </c>
      <c r="K236" s="97" t="s">
        <v>25</v>
      </c>
      <c r="L236" s="247">
        <f>(L231-L230)*0.007</f>
        <v>38.76803557814377</v>
      </c>
    </row>
    <row r="237" spans="1:12" ht="13.5" thickBot="1">
      <c r="A237" s="173"/>
      <c r="B237" s="248"/>
      <c r="C237" s="98" t="s">
        <v>26</v>
      </c>
      <c r="D237" s="249">
        <v>0</v>
      </c>
      <c r="F237" s="248"/>
      <c r="G237" s="98" t="s">
        <v>26</v>
      </c>
      <c r="H237" s="249">
        <v>0</v>
      </c>
      <c r="J237" s="248"/>
      <c r="K237" s="98" t="s">
        <v>26</v>
      </c>
      <c r="L237" s="249">
        <v>0</v>
      </c>
    </row>
    <row r="238" spans="1:12" ht="13.5" thickBot="1">
      <c r="A238" s="323"/>
      <c r="B238" s="250"/>
      <c r="C238" s="93" t="s">
        <v>27</v>
      </c>
      <c r="D238" s="114">
        <f>SUM(D232:D237)</f>
        <v>315.69344194561535</v>
      </c>
      <c r="F238" s="250"/>
      <c r="G238" s="93" t="s">
        <v>27</v>
      </c>
      <c r="H238" s="114">
        <f>SUM(H232:H237)</f>
        <v>356.89801443037004</v>
      </c>
      <c r="J238" s="250"/>
      <c r="K238" s="93" t="s">
        <v>27</v>
      </c>
      <c r="L238" s="114">
        <f>SUM(L232:L237)</f>
        <v>378.4867930586207</v>
      </c>
    </row>
    <row r="239" spans="1:12" ht="13.5" thickBot="1">
      <c r="A239" s="323"/>
      <c r="B239" s="251"/>
      <c r="C239" s="101"/>
      <c r="D239" s="252"/>
      <c r="F239" s="251"/>
      <c r="G239" s="101"/>
      <c r="H239" s="252"/>
      <c r="J239" s="251"/>
      <c r="K239" s="101"/>
      <c r="L239" s="252"/>
    </row>
    <row r="240" spans="1:12" ht="13.5" thickBot="1">
      <c r="A240" s="74"/>
      <c r="B240" s="253"/>
      <c r="C240" s="104" t="s">
        <v>28</v>
      </c>
      <c r="D240" s="115">
        <f>D231-D238</f>
        <v>4303.759908151184</v>
      </c>
      <c r="F240" s="253"/>
      <c r="G240" s="104" t="s">
        <v>28</v>
      </c>
      <c r="H240" s="115">
        <f>H231-H238</f>
        <v>4865.490256426669</v>
      </c>
      <c r="J240" s="253"/>
      <c r="K240" s="104" t="s">
        <v>28</v>
      </c>
      <c r="L240" s="115">
        <f>L231-L238</f>
        <v>5159.80400381906</v>
      </c>
    </row>
    <row r="241" spans="1:4" ht="12.75">
      <c r="A241" s="74"/>
      <c r="B241" s="4"/>
      <c r="C241" s="205"/>
      <c r="D241" s="206"/>
    </row>
    <row r="242" ht="12.75">
      <c r="A242" s="74"/>
    </row>
    <row r="243" spans="1:6" ht="18.75" thickBot="1">
      <c r="A243" s="74"/>
      <c r="B243" s="395" t="s">
        <v>417</v>
      </c>
      <c r="C243" s="233"/>
      <c r="D243" s="236"/>
      <c r="E243" s="43"/>
      <c r="F243" s="313"/>
    </row>
    <row r="244" spans="1:8" ht="16.5" thickTop="1">
      <c r="A244" s="74"/>
      <c r="B244" s="385" t="s">
        <v>11</v>
      </c>
      <c r="C244" s="386"/>
      <c r="D244" s="387"/>
      <c r="E244" s="74"/>
      <c r="F244" s="74"/>
      <c r="G244" s="74"/>
      <c r="H244" s="14"/>
    </row>
    <row r="245" spans="1:7" ht="15.75">
      <c r="A245" s="74"/>
      <c r="B245" s="388" t="s">
        <v>12</v>
      </c>
      <c r="C245" s="389"/>
      <c r="D245" s="390"/>
      <c r="E245" s="74"/>
      <c r="F245" s="74"/>
      <c r="G245" s="74"/>
    </row>
    <row r="246" spans="1:7" ht="15.75">
      <c r="A246" s="74"/>
      <c r="B246" s="391" t="s">
        <v>381</v>
      </c>
      <c r="C246" s="389"/>
      <c r="D246" s="390"/>
      <c r="E246" s="74"/>
      <c r="F246" s="74"/>
      <c r="G246" s="74"/>
    </row>
    <row r="247" spans="1:7" ht="15.75">
      <c r="A247" s="74"/>
      <c r="B247" s="391" t="s">
        <v>360</v>
      </c>
      <c r="C247" s="389"/>
      <c r="D247" s="390"/>
      <c r="E247" s="74"/>
      <c r="F247" s="74"/>
      <c r="G247" s="74"/>
    </row>
    <row r="248" spans="1:7" ht="15.75" thickBot="1">
      <c r="A248" s="74"/>
      <c r="B248" s="392"/>
      <c r="C248" s="393"/>
      <c r="D248" s="394"/>
      <c r="E248" s="74"/>
      <c r="F248" s="74"/>
      <c r="G248" s="74"/>
    </row>
    <row r="249" spans="1:7" ht="13.5" thickTop="1">
      <c r="A249" s="74"/>
      <c r="B249" s="74"/>
      <c r="C249" s="74"/>
      <c r="D249" s="74"/>
      <c r="E249" s="74"/>
      <c r="F249" s="74"/>
      <c r="G249" s="74"/>
    </row>
    <row r="250" spans="1:7" ht="12.75">
      <c r="A250" s="74"/>
      <c r="B250" s="74"/>
      <c r="C250" s="74"/>
      <c r="D250" s="74"/>
      <c r="E250" s="74"/>
      <c r="F250" s="74"/>
      <c r="G250" s="74"/>
    </row>
  </sheetData>
  <sheetProtection password="DFB3" sheet="1" objects="1" scenarios="1" selectLockedCells="1"/>
  <hyperlinks>
    <hyperlink ref="D8" location="cargosingreso" display="cargos de ingreso"/>
    <hyperlink ref="D9" location="horasmedia" display="horas nivel medio"/>
    <hyperlink ref="D10" location="horassuperior" display="horas nivel superior"/>
    <hyperlink ref="D7" location="instructivo" display="instructivo"/>
    <hyperlink ref="B31" location="Cargos!A1" display="Cargos"/>
    <hyperlink ref="B141" r:id="rId1" display="www.agmeruruguay.com.ar"/>
    <hyperlink ref="D11" location="Cargos!A1" display="Cargos"/>
    <hyperlink ref="B247" r:id="rId2" display="www.agmeruruguay.com.ar"/>
    <hyperlink ref="B140" r:id="rId3" display="victorhutt@victorhutt.com.ar"/>
    <hyperlink ref="B246" r:id="rId4" display="victorhutt@victorhutt.com.ar"/>
  </hyperlinks>
  <printOptions/>
  <pageMargins left="0.75" right="0.75" top="1" bottom="1" header="0" footer="0"/>
  <pageSetup horizontalDpi="1200" verticalDpi="1200" orientation="portrait" paperSize="9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T418"/>
  <sheetViews>
    <sheetView showGridLines="0" zoomScale="85" zoomScaleNormal="85" workbookViewId="0" topLeftCell="C1">
      <pane ySplit="1" topLeftCell="BM348" activePane="bottomLeft" state="frozen"/>
      <selection pane="topLeft" activeCell="C1" sqref="C1"/>
      <selection pane="bottomLeft" activeCell="F352" sqref="F352"/>
    </sheetView>
  </sheetViews>
  <sheetFormatPr defaultColWidth="11.421875" defaultRowHeight="12.75"/>
  <cols>
    <col min="1" max="1" width="13.57421875" style="0" hidden="1" customWidth="1"/>
    <col min="2" max="2" width="8.7109375" style="0" hidden="1" customWidth="1"/>
    <col min="3" max="3" width="7.421875" style="0" customWidth="1"/>
    <col min="4" max="4" width="13.00390625" style="0" customWidth="1"/>
    <col min="5" max="5" width="23.7109375" style="0" customWidth="1"/>
    <col min="6" max="6" width="16.00390625" style="0" bestFit="1" customWidth="1"/>
    <col min="7" max="7" width="13.57421875" style="0" customWidth="1"/>
    <col min="8" max="8" width="13.421875" style="0" bestFit="1" customWidth="1"/>
    <col min="9" max="9" width="22.7109375" style="0" customWidth="1"/>
    <col min="10" max="10" width="12.28125" style="0" bestFit="1" customWidth="1"/>
    <col min="11" max="11" width="8.421875" style="0" customWidth="1"/>
    <col min="12" max="12" width="6.57421875" style="0" bestFit="1" customWidth="1"/>
    <col min="13" max="13" width="23.28125" style="0" customWidth="1"/>
    <col min="14" max="14" width="20.8515625" style="0" customWidth="1"/>
    <col min="15" max="15" width="19.421875" style="0" customWidth="1"/>
    <col min="16" max="16" width="14.421875" style="0" customWidth="1"/>
  </cols>
  <sheetData>
    <row r="1" spans="3:8" s="209" customFormat="1" ht="18.75" thickBot="1">
      <c r="C1" s="210"/>
      <c r="D1" s="211" t="s">
        <v>391</v>
      </c>
      <c r="E1" s="212" t="s">
        <v>392</v>
      </c>
      <c r="F1" s="213" t="s">
        <v>393</v>
      </c>
      <c r="G1" s="214" t="s">
        <v>394</v>
      </c>
      <c r="H1" s="215" t="s">
        <v>395</v>
      </c>
    </row>
    <row r="2" spans="3:15" ht="18.75" thickTop="1">
      <c r="C2" s="304"/>
      <c r="D2" s="304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3:15" ht="18">
      <c r="C3" s="305" t="s">
        <v>454</v>
      </c>
      <c r="D3" s="304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3:4" s="255" customFormat="1" ht="18.75" hidden="1" thickBot="1">
      <c r="C4" s="418"/>
      <c r="D4" s="419"/>
    </row>
    <row r="5" spans="3:4" s="161" customFormat="1" ht="18.75" thickBot="1">
      <c r="C5" s="305"/>
      <c r="D5" s="444" t="s">
        <v>457</v>
      </c>
    </row>
    <row r="6" spans="3:7" s="432" customFormat="1" ht="21" thickBot="1">
      <c r="C6" s="431"/>
      <c r="D6" s="433" t="s">
        <v>439</v>
      </c>
      <c r="E6" s="434"/>
      <c r="F6" s="446">
        <v>0.82</v>
      </c>
      <c r="G6" s="445" t="s">
        <v>456</v>
      </c>
    </row>
    <row r="7" spans="3:4" s="255" customFormat="1" ht="18" hidden="1">
      <c r="C7" s="418"/>
      <c r="D7" s="419"/>
    </row>
    <row r="8" spans="3:4" s="255" customFormat="1" ht="18" hidden="1">
      <c r="C8" s="418"/>
      <c r="D8" s="419"/>
    </row>
    <row r="9" spans="3:15" ht="18">
      <c r="C9" s="305"/>
      <c r="D9" s="304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</row>
    <row r="10" spans="3:15" ht="18">
      <c r="C10" s="354"/>
      <c r="D10" s="304"/>
      <c r="E10" s="435" t="s">
        <v>428</v>
      </c>
      <c r="F10" s="436"/>
      <c r="G10" s="161"/>
      <c r="H10" s="161"/>
      <c r="I10" s="435" t="s">
        <v>448</v>
      </c>
      <c r="J10" s="436"/>
      <c r="K10" s="161"/>
      <c r="L10" s="161"/>
      <c r="M10" s="435" t="s">
        <v>449</v>
      </c>
      <c r="N10" s="436"/>
      <c r="O10" s="161"/>
    </row>
    <row r="11" spans="6:20" ht="16.5" hidden="1" thickBot="1">
      <c r="F11" t="s">
        <v>395</v>
      </c>
      <c r="G11" s="10" t="s">
        <v>397</v>
      </c>
      <c r="H11" s="10" t="s">
        <v>398</v>
      </c>
      <c r="I11" s="133" t="s">
        <v>399</v>
      </c>
      <c r="J11" s="133" t="s">
        <v>400</v>
      </c>
      <c r="K11" s="133" t="s">
        <v>401</v>
      </c>
      <c r="L11" s="133" t="s">
        <v>402</v>
      </c>
      <c r="M11" s="133" t="s">
        <v>403</v>
      </c>
      <c r="N11" s="133" t="s">
        <v>404</v>
      </c>
      <c r="O11" s="148" t="s">
        <v>405</v>
      </c>
      <c r="P11" s="148">
        <v>1</v>
      </c>
      <c r="Q11" s="148">
        <v>2</v>
      </c>
      <c r="R11" s="148">
        <v>3</v>
      </c>
      <c r="S11" s="148">
        <v>4</v>
      </c>
      <c r="T11" s="148">
        <v>5</v>
      </c>
    </row>
    <row r="12" spans="5:20" ht="16.5" hidden="1" thickBot="1">
      <c r="E12" s="123">
        <v>0</v>
      </c>
      <c r="F12" s="420">
        <f aca="true" t="shared" si="0" ref="F12:F23">IF(puntosproljorvarios1&lt;620,T12,O12)</f>
        <v>233</v>
      </c>
      <c r="G12" s="405">
        <v>233</v>
      </c>
      <c r="H12" s="223">
        <v>80</v>
      </c>
      <c r="I12" s="149">
        <v>0</v>
      </c>
      <c r="J12" s="150">
        <v>0</v>
      </c>
      <c r="K12" s="151">
        <v>0</v>
      </c>
      <c r="L12" s="224">
        <v>0</v>
      </c>
      <c r="M12" s="225">
        <v>80</v>
      </c>
      <c r="N12" s="226">
        <v>80</v>
      </c>
      <c r="O12" s="152">
        <f>IF(punbasjubvarios1&gt;971,N12,M12)</f>
        <v>80</v>
      </c>
      <c r="P12" s="152">
        <f aca="true" t="shared" si="1" ref="P12:P23">IF(punbasjubvarios1&lt;972,G12,H12)</f>
        <v>233</v>
      </c>
      <c r="Q12" s="152">
        <f aca="true" t="shared" si="2" ref="Q12:Q23">IF(punbasjubvarios1&lt;1170,P12,I12)</f>
        <v>233</v>
      </c>
      <c r="R12" s="152">
        <f aca="true" t="shared" si="3" ref="R12:R23">IF(punbasjubvarios1&lt;1401,Q12,J12)</f>
        <v>233</v>
      </c>
      <c r="S12" s="152">
        <f aca="true" t="shared" si="4" ref="S12:S23">IF(punbasjubvarios1&lt;1943,R12,K12)</f>
        <v>233</v>
      </c>
      <c r="T12" s="152">
        <f aca="true" t="shared" si="5" ref="T12:T23">IF(punbasjubvarios1&lt;=2220,S12,L12)</f>
        <v>233</v>
      </c>
    </row>
    <row r="13" spans="5:20" ht="16.5" hidden="1" thickBot="1">
      <c r="E13" s="124">
        <v>0.1</v>
      </c>
      <c r="F13" s="420">
        <f t="shared" si="0"/>
        <v>250</v>
      </c>
      <c r="G13" s="406">
        <v>250</v>
      </c>
      <c r="H13" s="228">
        <v>90</v>
      </c>
      <c r="I13" s="149">
        <v>0</v>
      </c>
      <c r="J13" s="150">
        <v>0</v>
      </c>
      <c r="K13" s="151">
        <v>0</v>
      </c>
      <c r="L13" s="224">
        <v>0</v>
      </c>
      <c r="M13" s="225">
        <v>90</v>
      </c>
      <c r="N13" s="226">
        <v>90</v>
      </c>
      <c r="O13" s="152">
        <f aca="true" t="shared" si="6" ref="O13:O23">IF(punbasjubvarios1&gt;971,N13,M13)</f>
        <v>90</v>
      </c>
      <c r="P13" s="152">
        <f t="shared" si="1"/>
        <v>250</v>
      </c>
      <c r="Q13" s="152">
        <f t="shared" si="2"/>
        <v>250</v>
      </c>
      <c r="R13" s="152">
        <f t="shared" si="3"/>
        <v>250</v>
      </c>
      <c r="S13" s="152">
        <f t="shared" si="4"/>
        <v>250</v>
      </c>
      <c r="T13" s="152">
        <f t="shared" si="5"/>
        <v>250</v>
      </c>
    </row>
    <row r="14" spans="5:20" ht="16.5" hidden="1" thickBot="1">
      <c r="E14" s="125">
        <v>0.15</v>
      </c>
      <c r="F14" s="420">
        <f t="shared" si="0"/>
        <v>350</v>
      </c>
      <c r="G14" s="406">
        <v>350</v>
      </c>
      <c r="H14" s="228">
        <v>180</v>
      </c>
      <c r="I14" s="153">
        <v>240</v>
      </c>
      <c r="J14" s="154">
        <v>193</v>
      </c>
      <c r="K14" s="155">
        <v>180</v>
      </c>
      <c r="L14" s="224">
        <v>0</v>
      </c>
      <c r="M14" s="225">
        <v>220</v>
      </c>
      <c r="N14" s="226">
        <v>220</v>
      </c>
      <c r="O14" s="152">
        <f t="shared" si="6"/>
        <v>220</v>
      </c>
      <c r="P14" s="152">
        <f t="shared" si="1"/>
        <v>350</v>
      </c>
      <c r="Q14" s="152">
        <f t="shared" si="2"/>
        <v>350</v>
      </c>
      <c r="R14" s="152">
        <f t="shared" si="3"/>
        <v>350</v>
      </c>
      <c r="S14" s="152">
        <f t="shared" si="4"/>
        <v>350</v>
      </c>
      <c r="T14" s="152">
        <f t="shared" si="5"/>
        <v>350</v>
      </c>
    </row>
    <row r="15" spans="5:20" ht="16.5" hidden="1" thickBot="1">
      <c r="E15" s="125">
        <v>0.3</v>
      </c>
      <c r="F15" s="420">
        <f t="shared" si="0"/>
        <v>405</v>
      </c>
      <c r="G15" s="406">
        <v>405</v>
      </c>
      <c r="H15" s="228">
        <v>195</v>
      </c>
      <c r="I15" s="153">
        <v>240</v>
      </c>
      <c r="J15" s="154">
        <v>193</v>
      </c>
      <c r="K15" s="155">
        <v>180</v>
      </c>
      <c r="L15" s="224">
        <v>0</v>
      </c>
      <c r="M15" s="225">
        <v>380</v>
      </c>
      <c r="N15" s="226">
        <v>350</v>
      </c>
      <c r="O15" s="152">
        <f t="shared" si="6"/>
        <v>380</v>
      </c>
      <c r="P15" s="152">
        <f t="shared" si="1"/>
        <v>405</v>
      </c>
      <c r="Q15" s="152">
        <f t="shared" si="2"/>
        <v>405</v>
      </c>
      <c r="R15" s="152">
        <f t="shared" si="3"/>
        <v>405</v>
      </c>
      <c r="S15" s="152">
        <f t="shared" si="4"/>
        <v>405</v>
      </c>
      <c r="T15" s="152">
        <f t="shared" si="5"/>
        <v>405</v>
      </c>
    </row>
    <row r="16" spans="5:20" ht="16.5" hidden="1" thickBot="1">
      <c r="E16" s="125">
        <v>0.4</v>
      </c>
      <c r="F16" s="420">
        <f t="shared" si="0"/>
        <v>440</v>
      </c>
      <c r="G16" s="406">
        <v>440</v>
      </c>
      <c r="H16" s="228">
        <v>210</v>
      </c>
      <c r="I16" s="153">
        <v>250</v>
      </c>
      <c r="J16" s="154">
        <v>200</v>
      </c>
      <c r="K16" s="155">
        <v>180</v>
      </c>
      <c r="L16" s="224">
        <v>140</v>
      </c>
      <c r="M16" s="225">
        <v>440</v>
      </c>
      <c r="N16" s="226">
        <v>400</v>
      </c>
      <c r="O16" s="152">
        <f t="shared" si="6"/>
        <v>440</v>
      </c>
      <c r="P16" s="152">
        <f t="shared" si="1"/>
        <v>440</v>
      </c>
      <c r="Q16" s="152">
        <f t="shared" si="2"/>
        <v>440</v>
      </c>
      <c r="R16" s="152">
        <f t="shared" si="3"/>
        <v>440</v>
      </c>
      <c r="S16" s="152">
        <f t="shared" si="4"/>
        <v>440</v>
      </c>
      <c r="T16" s="152">
        <f t="shared" si="5"/>
        <v>440</v>
      </c>
    </row>
    <row r="17" spans="5:20" ht="16.5" hidden="1" thickBot="1">
      <c r="E17" s="125">
        <v>0.5</v>
      </c>
      <c r="F17" s="420">
        <f t="shared" si="0"/>
        <v>455</v>
      </c>
      <c r="G17" s="406">
        <v>455</v>
      </c>
      <c r="H17" s="228">
        <v>230</v>
      </c>
      <c r="I17" s="153">
        <v>250</v>
      </c>
      <c r="J17" s="137">
        <v>200</v>
      </c>
      <c r="K17" s="155">
        <v>180</v>
      </c>
      <c r="L17" s="224">
        <v>140</v>
      </c>
      <c r="M17" s="225">
        <v>475</v>
      </c>
      <c r="N17" s="226">
        <v>435</v>
      </c>
      <c r="O17" s="152">
        <f t="shared" si="6"/>
        <v>475</v>
      </c>
      <c r="P17" s="152">
        <f t="shared" si="1"/>
        <v>455</v>
      </c>
      <c r="Q17" s="152">
        <f t="shared" si="2"/>
        <v>455</v>
      </c>
      <c r="R17" s="152">
        <f t="shared" si="3"/>
        <v>455</v>
      </c>
      <c r="S17" s="152">
        <f t="shared" si="4"/>
        <v>455</v>
      </c>
      <c r="T17" s="152">
        <f t="shared" si="5"/>
        <v>455</v>
      </c>
    </row>
    <row r="18" spans="5:20" ht="16.5" hidden="1" thickBot="1">
      <c r="E18" s="125">
        <v>0.6</v>
      </c>
      <c r="F18" s="420">
        <f t="shared" si="0"/>
        <v>465</v>
      </c>
      <c r="G18" s="406">
        <v>465</v>
      </c>
      <c r="H18" s="228">
        <v>260</v>
      </c>
      <c r="I18" s="153">
        <v>260</v>
      </c>
      <c r="J18" s="137">
        <v>203</v>
      </c>
      <c r="K18" s="155">
        <v>190</v>
      </c>
      <c r="L18" s="224">
        <v>160</v>
      </c>
      <c r="M18" s="225">
        <v>510</v>
      </c>
      <c r="N18" s="226">
        <v>450</v>
      </c>
      <c r="O18" s="152">
        <f t="shared" si="6"/>
        <v>510</v>
      </c>
      <c r="P18" s="152">
        <f t="shared" si="1"/>
        <v>465</v>
      </c>
      <c r="Q18" s="152">
        <f t="shared" si="2"/>
        <v>465</v>
      </c>
      <c r="R18" s="152">
        <f t="shared" si="3"/>
        <v>465</v>
      </c>
      <c r="S18" s="152">
        <f t="shared" si="4"/>
        <v>465</v>
      </c>
      <c r="T18" s="152">
        <f t="shared" si="5"/>
        <v>465</v>
      </c>
    </row>
    <row r="19" spans="5:20" ht="16.5" hidden="1" thickBot="1">
      <c r="E19" s="125">
        <v>0.7</v>
      </c>
      <c r="F19" s="420">
        <f t="shared" si="0"/>
        <v>445</v>
      </c>
      <c r="G19" s="406">
        <v>445</v>
      </c>
      <c r="H19" s="228">
        <v>285</v>
      </c>
      <c r="I19" s="153">
        <v>365</v>
      </c>
      <c r="J19" s="137">
        <v>230</v>
      </c>
      <c r="K19" s="155">
        <v>190</v>
      </c>
      <c r="L19" s="224">
        <v>160</v>
      </c>
      <c r="M19" s="225">
        <v>525</v>
      </c>
      <c r="N19" s="226">
        <v>465</v>
      </c>
      <c r="O19" s="152">
        <f t="shared" si="6"/>
        <v>525</v>
      </c>
      <c r="P19" s="152">
        <f t="shared" si="1"/>
        <v>445</v>
      </c>
      <c r="Q19" s="152">
        <f t="shared" si="2"/>
        <v>445</v>
      </c>
      <c r="R19" s="152">
        <f t="shared" si="3"/>
        <v>445</v>
      </c>
      <c r="S19" s="152">
        <f t="shared" si="4"/>
        <v>445</v>
      </c>
      <c r="T19" s="152">
        <f t="shared" si="5"/>
        <v>445</v>
      </c>
    </row>
    <row r="20" spans="5:20" ht="16.5" hidden="1" thickBot="1">
      <c r="E20" s="125">
        <v>0.8</v>
      </c>
      <c r="F20" s="420">
        <f t="shared" si="0"/>
        <v>535</v>
      </c>
      <c r="G20" s="406">
        <v>535</v>
      </c>
      <c r="H20" s="228">
        <v>345</v>
      </c>
      <c r="I20" s="136">
        <v>395</v>
      </c>
      <c r="J20" s="137">
        <v>340</v>
      </c>
      <c r="K20" s="156">
        <v>280</v>
      </c>
      <c r="L20" s="230">
        <v>180</v>
      </c>
      <c r="M20" s="225">
        <v>555</v>
      </c>
      <c r="N20" s="226">
        <v>475</v>
      </c>
      <c r="O20" s="152">
        <f t="shared" si="6"/>
        <v>555</v>
      </c>
      <c r="P20" s="152">
        <f t="shared" si="1"/>
        <v>535</v>
      </c>
      <c r="Q20" s="152">
        <f t="shared" si="2"/>
        <v>535</v>
      </c>
      <c r="R20" s="152">
        <f t="shared" si="3"/>
        <v>535</v>
      </c>
      <c r="S20" s="152">
        <f t="shared" si="4"/>
        <v>535</v>
      </c>
      <c r="T20" s="152">
        <f t="shared" si="5"/>
        <v>535</v>
      </c>
    </row>
    <row r="21" spans="5:20" ht="16.5" hidden="1" thickBot="1">
      <c r="E21" s="125">
        <v>1</v>
      </c>
      <c r="F21" s="420">
        <f t="shared" si="0"/>
        <v>665</v>
      </c>
      <c r="G21" s="406">
        <v>665</v>
      </c>
      <c r="H21" s="228">
        <v>435</v>
      </c>
      <c r="I21" s="136">
        <v>410</v>
      </c>
      <c r="J21" s="137">
        <v>330</v>
      </c>
      <c r="K21" s="156">
        <v>310</v>
      </c>
      <c r="L21" s="230">
        <v>180</v>
      </c>
      <c r="M21" s="225">
        <v>590</v>
      </c>
      <c r="N21" s="226">
        <v>490</v>
      </c>
      <c r="O21" s="152">
        <f t="shared" si="6"/>
        <v>590</v>
      </c>
      <c r="P21" s="152">
        <f t="shared" si="1"/>
        <v>665</v>
      </c>
      <c r="Q21" s="152">
        <f t="shared" si="2"/>
        <v>665</v>
      </c>
      <c r="R21" s="152">
        <f t="shared" si="3"/>
        <v>665</v>
      </c>
      <c r="S21" s="152">
        <f t="shared" si="4"/>
        <v>665</v>
      </c>
      <c r="T21" s="152">
        <f t="shared" si="5"/>
        <v>665</v>
      </c>
    </row>
    <row r="22" spans="1:20" ht="16.5" hidden="1" thickBot="1">
      <c r="A22">
        <v>1</v>
      </c>
      <c r="E22" s="125">
        <v>1.1</v>
      </c>
      <c r="F22" s="420">
        <f t="shared" si="0"/>
        <v>745</v>
      </c>
      <c r="G22" s="406">
        <v>745</v>
      </c>
      <c r="H22" s="228">
        <v>495</v>
      </c>
      <c r="I22" s="136">
        <v>430</v>
      </c>
      <c r="J22" s="137">
        <v>330</v>
      </c>
      <c r="K22" s="156">
        <v>320</v>
      </c>
      <c r="L22" s="230">
        <v>190</v>
      </c>
      <c r="M22" s="225">
        <v>615</v>
      </c>
      <c r="N22" s="226">
        <v>505</v>
      </c>
      <c r="O22" s="152">
        <f t="shared" si="6"/>
        <v>615</v>
      </c>
      <c r="P22" s="152">
        <f t="shared" si="1"/>
        <v>745</v>
      </c>
      <c r="Q22" s="152">
        <f t="shared" si="2"/>
        <v>745</v>
      </c>
      <c r="R22" s="152">
        <f t="shared" si="3"/>
        <v>745</v>
      </c>
      <c r="S22" s="152">
        <f t="shared" si="4"/>
        <v>745</v>
      </c>
      <c r="T22" s="152">
        <f t="shared" si="5"/>
        <v>745</v>
      </c>
    </row>
    <row r="23" spans="1:20" ht="16.5" hidden="1" thickBot="1">
      <c r="A23">
        <v>1</v>
      </c>
      <c r="E23" s="126">
        <v>1.2</v>
      </c>
      <c r="F23" s="420">
        <f t="shared" si="0"/>
        <v>770</v>
      </c>
      <c r="G23" s="406">
        <v>770</v>
      </c>
      <c r="H23" s="228">
        <v>510</v>
      </c>
      <c r="I23" s="136">
        <v>480</v>
      </c>
      <c r="J23" s="137">
        <v>335</v>
      </c>
      <c r="K23" s="156">
        <v>330</v>
      </c>
      <c r="L23" s="230">
        <v>190</v>
      </c>
      <c r="M23" s="225">
        <v>620</v>
      </c>
      <c r="N23" s="226">
        <v>510</v>
      </c>
      <c r="O23" s="152">
        <f t="shared" si="6"/>
        <v>620</v>
      </c>
      <c r="P23" s="152">
        <f t="shared" si="1"/>
        <v>770</v>
      </c>
      <c r="Q23" s="152">
        <f t="shared" si="2"/>
        <v>770</v>
      </c>
      <c r="R23" s="152">
        <f t="shared" si="3"/>
        <v>770</v>
      </c>
      <c r="S23" s="152">
        <f t="shared" si="4"/>
        <v>770</v>
      </c>
      <c r="T23" s="152">
        <f t="shared" si="5"/>
        <v>770</v>
      </c>
    </row>
    <row r="24" spans="5:20" s="255" customFormat="1" ht="15.75" hidden="1">
      <c r="E24" s="256"/>
      <c r="F24" s="164"/>
      <c r="G24" s="164"/>
      <c r="H24" s="257"/>
      <c r="I24" s="258"/>
      <c r="J24" s="258"/>
      <c r="K24" s="164"/>
      <c r="L24" s="11"/>
      <c r="M24" s="135"/>
      <c r="N24" s="135"/>
      <c r="O24" s="135"/>
      <c r="P24" s="135"/>
      <c r="Q24" s="135"/>
      <c r="R24" s="135"/>
      <c r="S24" s="135"/>
      <c r="T24" s="135"/>
    </row>
    <row r="25" spans="5:20" s="255" customFormat="1" ht="15.75" hidden="1">
      <c r="E25" s="256"/>
      <c r="F25" s="164" t="s">
        <v>424</v>
      </c>
      <c r="G25" s="164">
        <f>LOOKUP(F72,porantvar1,cod06cargosvar1)</f>
        <v>770</v>
      </c>
      <c r="H25" s="257"/>
      <c r="I25" s="258"/>
      <c r="J25" s="258"/>
      <c r="K25" s="164"/>
      <c r="L25" s="11"/>
      <c r="M25" s="135"/>
      <c r="N25" s="135"/>
      <c r="O25" s="135"/>
      <c r="P25" s="135"/>
      <c r="Q25" s="135"/>
      <c r="R25" s="135"/>
      <c r="S25" s="135"/>
      <c r="T25" s="135"/>
    </row>
    <row r="26" spans="5:20" s="255" customFormat="1" ht="15.75" hidden="1">
      <c r="E26" s="256"/>
      <c r="F26" s="164"/>
      <c r="G26" s="164"/>
      <c r="H26" s="257"/>
      <c r="I26" s="258"/>
      <c r="J26" s="258"/>
      <c r="K26" s="164"/>
      <c r="L26" s="11"/>
      <c r="M26" s="135"/>
      <c r="N26" s="135"/>
      <c r="O26" s="135"/>
      <c r="P26" s="135"/>
      <c r="Q26" s="135"/>
      <c r="R26" s="135"/>
      <c r="S26" s="135"/>
      <c r="T26" s="135"/>
    </row>
    <row r="27" spans="5:20" s="255" customFormat="1" ht="16.5" hidden="1" thickBot="1">
      <c r="E27"/>
      <c r="F27" t="s">
        <v>395</v>
      </c>
      <c r="G27" s="10" t="s">
        <v>397</v>
      </c>
      <c r="H27" s="10" t="s">
        <v>398</v>
      </c>
      <c r="I27" s="133" t="s">
        <v>399</v>
      </c>
      <c r="J27" s="133" t="s">
        <v>400</v>
      </c>
      <c r="K27" s="133" t="s">
        <v>401</v>
      </c>
      <c r="L27" s="133" t="s">
        <v>402</v>
      </c>
      <c r="M27" s="133" t="s">
        <v>403</v>
      </c>
      <c r="N27" s="133" t="s">
        <v>404</v>
      </c>
      <c r="O27" s="148" t="s">
        <v>405</v>
      </c>
      <c r="P27" s="148">
        <v>1</v>
      </c>
      <c r="Q27" s="148">
        <v>2</v>
      </c>
      <c r="R27" s="148">
        <v>3</v>
      </c>
      <c r="S27" s="148">
        <v>4</v>
      </c>
      <c r="T27" s="148">
        <v>5</v>
      </c>
    </row>
    <row r="28" spans="5:20" s="255" customFormat="1" ht="15.75" hidden="1">
      <c r="E28" s="123">
        <v>0</v>
      </c>
      <c r="F28" s="420">
        <f aca="true" t="shared" si="7" ref="F28:F39">IF(puntosproljorvarios1&lt;620,T28,O28)</f>
        <v>268</v>
      </c>
      <c r="G28" s="414">
        <v>268</v>
      </c>
      <c r="H28" s="414">
        <v>92</v>
      </c>
      <c r="I28" s="414">
        <v>0</v>
      </c>
      <c r="J28" s="414">
        <v>0</v>
      </c>
      <c r="K28" s="414">
        <v>0</v>
      </c>
      <c r="L28" s="414">
        <v>0</v>
      </c>
      <c r="M28" s="414">
        <v>92</v>
      </c>
      <c r="N28" s="414">
        <v>92</v>
      </c>
      <c r="O28" s="152">
        <f>IF(punbasjubvarios1&gt;971,N28,M28)</f>
        <v>92</v>
      </c>
      <c r="P28" s="152">
        <f aca="true" t="shared" si="8" ref="P28:P39">IF(punbasjubvarios1&lt;972,G28,H28)</f>
        <v>268</v>
      </c>
      <c r="Q28" s="152">
        <f aca="true" t="shared" si="9" ref="Q28:Q39">IF(punbasjubvarios1&lt;1170,P28,I28)</f>
        <v>268</v>
      </c>
      <c r="R28" s="152">
        <f aca="true" t="shared" si="10" ref="R28:R39">IF(punbasjubvarios1&lt;1401,Q28,J28)</f>
        <v>268</v>
      </c>
      <c r="S28" s="152">
        <f aca="true" t="shared" si="11" ref="S28:S39">IF(punbasjubvarios1&lt;1943,R28,K28)</f>
        <v>268</v>
      </c>
      <c r="T28" s="152">
        <f aca="true" t="shared" si="12" ref="T28:T39">IF(punbasjubvarios1&lt;=2220,S28,L28)</f>
        <v>268</v>
      </c>
    </row>
    <row r="29" spans="5:20" s="255" customFormat="1" ht="15.75" hidden="1">
      <c r="E29" s="124">
        <v>0.1</v>
      </c>
      <c r="F29" s="420">
        <f t="shared" si="7"/>
        <v>288</v>
      </c>
      <c r="G29" s="414">
        <v>288</v>
      </c>
      <c r="H29" s="414">
        <v>104</v>
      </c>
      <c r="I29" s="414">
        <v>0</v>
      </c>
      <c r="J29" s="414">
        <v>0</v>
      </c>
      <c r="K29" s="414">
        <v>0</v>
      </c>
      <c r="L29" s="414">
        <v>0</v>
      </c>
      <c r="M29" s="414">
        <v>104</v>
      </c>
      <c r="N29" s="414">
        <v>104</v>
      </c>
      <c r="O29" s="152">
        <f aca="true" t="shared" si="13" ref="O29:O39">IF(punbasjubvarios1&gt;971,N29,M29)</f>
        <v>104</v>
      </c>
      <c r="P29" s="152">
        <f t="shared" si="8"/>
        <v>288</v>
      </c>
      <c r="Q29" s="152">
        <f t="shared" si="9"/>
        <v>288</v>
      </c>
      <c r="R29" s="152">
        <f t="shared" si="10"/>
        <v>288</v>
      </c>
      <c r="S29" s="152">
        <f t="shared" si="11"/>
        <v>288</v>
      </c>
      <c r="T29" s="152">
        <f t="shared" si="12"/>
        <v>288</v>
      </c>
    </row>
    <row r="30" spans="5:20" s="255" customFormat="1" ht="15.75" hidden="1">
      <c r="E30" s="125">
        <v>0.15</v>
      </c>
      <c r="F30" s="420">
        <f t="shared" si="7"/>
        <v>403</v>
      </c>
      <c r="G30" s="414">
        <v>403</v>
      </c>
      <c r="H30" s="414">
        <v>207</v>
      </c>
      <c r="I30" s="414">
        <v>276</v>
      </c>
      <c r="J30" s="414">
        <v>222</v>
      </c>
      <c r="K30" s="414">
        <v>207</v>
      </c>
      <c r="L30" s="414">
        <v>0</v>
      </c>
      <c r="M30" s="414">
        <v>253</v>
      </c>
      <c r="N30" s="414">
        <v>253</v>
      </c>
      <c r="O30" s="152">
        <f t="shared" si="13"/>
        <v>253</v>
      </c>
      <c r="P30" s="152">
        <f t="shared" si="8"/>
        <v>403</v>
      </c>
      <c r="Q30" s="152">
        <f t="shared" si="9"/>
        <v>403</v>
      </c>
      <c r="R30" s="152">
        <f t="shared" si="10"/>
        <v>403</v>
      </c>
      <c r="S30" s="152">
        <f t="shared" si="11"/>
        <v>403</v>
      </c>
      <c r="T30" s="152">
        <f t="shared" si="12"/>
        <v>403</v>
      </c>
    </row>
    <row r="31" spans="5:20" s="255" customFormat="1" ht="15.75" hidden="1">
      <c r="E31" s="125">
        <v>0.3</v>
      </c>
      <c r="F31" s="420">
        <f t="shared" si="7"/>
        <v>466</v>
      </c>
      <c r="G31" s="414">
        <v>466</v>
      </c>
      <c r="H31" s="414">
        <v>224</v>
      </c>
      <c r="I31" s="414">
        <v>276</v>
      </c>
      <c r="J31" s="414">
        <v>222</v>
      </c>
      <c r="K31" s="414">
        <v>207</v>
      </c>
      <c r="L31" s="414">
        <v>0</v>
      </c>
      <c r="M31" s="414">
        <v>437</v>
      </c>
      <c r="N31" s="414">
        <v>403</v>
      </c>
      <c r="O31" s="152">
        <f t="shared" si="13"/>
        <v>437</v>
      </c>
      <c r="P31" s="152">
        <f t="shared" si="8"/>
        <v>466</v>
      </c>
      <c r="Q31" s="152">
        <f t="shared" si="9"/>
        <v>466</v>
      </c>
      <c r="R31" s="152">
        <f t="shared" si="10"/>
        <v>466</v>
      </c>
      <c r="S31" s="152">
        <f t="shared" si="11"/>
        <v>466</v>
      </c>
      <c r="T31" s="152">
        <f t="shared" si="12"/>
        <v>466</v>
      </c>
    </row>
    <row r="32" spans="5:20" s="255" customFormat="1" ht="15.75" hidden="1">
      <c r="E32" s="125">
        <v>0.4</v>
      </c>
      <c r="F32" s="420">
        <f t="shared" si="7"/>
        <v>506</v>
      </c>
      <c r="G32" s="414">
        <v>506</v>
      </c>
      <c r="H32" s="414">
        <v>242</v>
      </c>
      <c r="I32" s="414">
        <v>288</v>
      </c>
      <c r="J32" s="414">
        <v>230</v>
      </c>
      <c r="K32" s="414">
        <v>207</v>
      </c>
      <c r="L32" s="414">
        <v>161</v>
      </c>
      <c r="M32" s="414">
        <v>506</v>
      </c>
      <c r="N32" s="414">
        <v>460</v>
      </c>
      <c r="O32" s="152">
        <f t="shared" si="13"/>
        <v>506</v>
      </c>
      <c r="P32" s="152">
        <f t="shared" si="8"/>
        <v>506</v>
      </c>
      <c r="Q32" s="152">
        <f t="shared" si="9"/>
        <v>506</v>
      </c>
      <c r="R32" s="152">
        <f t="shared" si="10"/>
        <v>506</v>
      </c>
      <c r="S32" s="152">
        <f t="shared" si="11"/>
        <v>506</v>
      </c>
      <c r="T32" s="152">
        <f t="shared" si="12"/>
        <v>506</v>
      </c>
    </row>
    <row r="33" spans="5:20" s="255" customFormat="1" ht="15.75" hidden="1">
      <c r="E33" s="125">
        <v>0.5</v>
      </c>
      <c r="F33" s="420">
        <f t="shared" si="7"/>
        <v>523</v>
      </c>
      <c r="G33" s="414">
        <v>523</v>
      </c>
      <c r="H33" s="414">
        <v>265</v>
      </c>
      <c r="I33" s="414">
        <v>288</v>
      </c>
      <c r="J33" s="414">
        <v>230</v>
      </c>
      <c r="K33" s="414">
        <v>207</v>
      </c>
      <c r="L33" s="414">
        <v>161</v>
      </c>
      <c r="M33" s="414">
        <v>546</v>
      </c>
      <c r="N33" s="414">
        <v>500</v>
      </c>
      <c r="O33" s="152">
        <f t="shared" si="13"/>
        <v>546</v>
      </c>
      <c r="P33" s="152">
        <f t="shared" si="8"/>
        <v>523</v>
      </c>
      <c r="Q33" s="152">
        <f t="shared" si="9"/>
        <v>523</v>
      </c>
      <c r="R33" s="152">
        <f t="shared" si="10"/>
        <v>523</v>
      </c>
      <c r="S33" s="152">
        <f t="shared" si="11"/>
        <v>523</v>
      </c>
      <c r="T33" s="152">
        <f t="shared" si="12"/>
        <v>523</v>
      </c>
    </row>
    <row r="34" spans="5:20" s="255" customFormat="1" ht="15.75" hidden="1">
      <c r="E34" s="125">
        <v>0.6</v>
      </c>
      <c r="F34" s="420">
        <f t="shared" si="7"/>
        <v>535</v>
      </c>
      <c r="G34" s="414">
        <v>535</v>
      </c>
      <c r="H34" s="414">
        <v>299</v>
      </c>
      <c r="I34" s="414">
        <v>299</v>
      </c>
      <c r="J34" s="414">
        <v>233</v>
      </c>
      <c r="K34" s="414">
        <v>219</v>
      </c>
      <c r="L34" s="414">
        <v>184</v>
      </c>
      <c r="M34" s="414">
        <v>587</v>
      </c>
      <c r="N34" s="414">
        <v>518</v>
      </c>
      <c r="O34" s="152">
        <f t="shared" si="13"/>
        <v>587</v>
      </c>
      <c r="P34" s="152">
        <f t="shared" si="8"/>
        <v>535</v>
      </c>
      <c r="Q34" s="152">
        <f t="shared" si="9"/>
        <v>535</v>
      </c>
      <c r="R34" s="152">
        <f t="shared" si="10"/>
        <v>535</v>
      </c>
      <c r="S34" s="152">
        <f t="shared" si="11"/>
        <v>535</v>
      </c>
      <c r="T34" s="152">
        <f t="shared" si="12"/>
        <v>535</v>
      </c>
    </row>
    <row r="35" spans="5:20" s="255" customFormat="1" ht="15.75" hidden="1">
      <c r="E35" s="125">
        <v>0.7</v>
      </c>
      <c r="F35" s="420">
        <f t="shared" si="7"/>
        <v>512</v>
      </c>
      <c r="G35" s="414">
        <v>512</v>
      </c>
      <c r="H35" s="414">
        <v>328</v>
      </c>
      <c r="I35" s="414">
        <v>420</v>
      </c>
      <c r="J35" s="414">
        <v>265</v>
      </c>
      <c r="K35" s="414">
        <v>219</v>
      </c>
      <c r="L35" s="414">
        <v>184</v>
      </c>
      <c r="M35" s="414">
        <v>604</v>
      </c>
      <c r="N35" s="414">
        <v>535</v>
      </c>
      <c r="O35" s="152">
        <f t="shared" si="13"/>
        <v>604</v>
      </c>
      <c r="P35" s="152">
        <f t="shared" si="8"/>
        <v>512</v>
      </c>
      <c r="Q35" s="152">
        <f t="shared" si="9"/>
        <v>512</v>
      </c>
      <c r="R35" s="152">
        <f t="shared" si="10"/>
        <v>512</v>
      </c>
      <c r="S35" s="152">
        <f t="shared" si="11"/>
        <v>512</v>
      </c>
      <c r="T35" s="152">
        <f t="shared" si="12"/>
        <v>512</v>
      </c>
    </row>
    <row r="36" spans="5:20" s="255" customFormat="1" ht="15.75" hidden="1">
      <c r="E36" s="125">
        <v>0.8</v>
      </c>
      <c r="F36" s="420">
        <f t="shared" si="7"/>
        <v>615</v>
      </c>
      <c r="G36" s="414">
        <v>615</v>
      </c>
      <c r="H36" s="414">
        <v>397</v>
      </c>
      <c r="I36" s="414">
        <v>454</v>
      </c>
      <c r="J36" s="414">
        <v>391</v>
      </c>
      <c r="K36" s="414">
        <v>322</v>
      </c>
      <c r="L36" s="414">
        <v>207</v>
      </c>
      <c r="M36" s="414">
        <v>638</v>
      </c>
      <c r="N36" s="414">
        <v>546</v>
      </c>
      <c r="O36" s="152">
        <f t="shared" si="13"/>
        <v>638</v>
      </c>
      <c r="P36" s="152">
        <f t="shared" si="8"/>
        <v>615</v>
      </c>
      <c r="Q36" s="152">
        <f t="shared" si="9"/>
        <v>615</v>
      </c>
      <c r="R36" s="152">
        <f t="shared" si="10"/>
        <v>615</v>
      </c>
      <c r="S36" s="152">
        <f t="shared" si="11"/>
        <v>615</v>
      </c>
      <c r="T36" s="152">
        <f t="shared" si="12"/>
        <v>615</v>
      </c>
    </row>
    <row r="37" spans="5:20" s="255" customFormat="1" ht="15.75" hidden="1">
      <c r="E37" s="125">
        <v>1</v>
      </c>
      <c r="F37" s="420">
        <f t="shared" si="7"/>
        <v>765</v>
      </c>
      <c r="G37" s="414">
        <v>765</v>
      </c>
      <c r="H37" s="414">
        <v>500</v>
      </c>
      <c r="I37" s="414">
        <v>472</v>
      </c>
      <c r="J37" s="414">
        <v>380</v>
      </c>
      <c r="K37" s="414">
        <v>357</v>
      </c>
      <c r="L37" s="414">
        <v>207</v>
      </c>
      <c r="M37" s="414">
        <v>679</v>
      </c>
      <c r="N37" s="414">
        <v>564</v>
      </c>
      <c r="O37" s="152">
        <f t="shared" si="13"/>
        <v>679</v>
      </c>
      <c r="P37" s="152">
        <f t="shared" si="8"/>
        <v>765</v>
      </c>
      <c r="Q37" s="152">
        <f t="shared" si="9"/>
        <v>765</v>
      </c>
      <c r="R37" s="152">
        <f t="shared" si="10"/>
        <v>765</v>
      </c>
      <c r="S37" s="152">
        <f t="shared" si="11"/>
        <v>765</v>
      </c>
      <c r="T37" s="152">
        <f t="shared" si="12"/>
        <v>765</v>
      </c>
    </row>
    <row r="38" spans="5:20" s="255" customFormat="1" ht="15.75" hidden="1">
      <c r="E38" s="125">
        <v>1.1</v>
      </c>
      <c r="F38" s="420">
        <f t="shared" si="7"/>
        <v>857</v>
      </c>
      <c r="G38" s="414">
        <v>857</v>
      </c>
      <c r="H38" s="414">
        <v>569</v>
      </c>
      <c r="I38" s="414">
        <v>495</v>
      </c>
      <c r="J38" s="414">
        <v>380</v>
      </c>
      <c r="K38" s="414">
        <v>368</v>
      </c>
      <c r="L38" s="414">
        <v>219</v>
      </c>
      <c r="M38" s="414">
        <v>707</v>
      </c>
      <c r="N38" s="414">
        <v>581</v>
      </c>
      <c r="O38" s="152">
        <f t="shared" si="13"/>
        <v>707</v>
      </c>
      <c r="P38" s="152">
        <f t="shared" si="8"/>
        <v>857</v>
      </c>
      <c r="Q38" s="152">
        <f t="shared" si="9"/>
        <v>857</v>
      </c>
      <c r="R38" s="152">
        <f t="shared" si="10"/>
        <v>857</v>
      </c>
      <c r="S38" s="152">
        <f t="shared" si="11"/>
        <v>857</v>
      </c>
      <c r="T38" s="152">
        <f t="shared" si="12"/>
        <v>857</v>
      </c>
    </row>
    <row r="39" spans="5:20" s="255" customFormat="1" ht="16.5" hidden="1" thickBot="1">
      <c r="E39" s="126">
        <v>1.2</v>
      </c>
      <c r="F39" s="420">
        <f t="shared" si="7"/>
        <v>886</v>
      </c>
      <c r="G39" s="414">
        <v>886</v>
      </c>
      <c r="H39" s="414">
        <v>587</v>
      </c>
      <c r="I39" s="414">
        <v>552</v>
      </c>
      <c r="J39" s="414">
        <v>385</v>
      </c>
      <c r="K39" s="414">
        <v>380</v>
      </c>
      <c r="L39" s="414">
        <v>219</v>
      </c>
      <c r="M39" s="414">
        <v>713</v>
      </c>
      <c r="N39" s="414">
        <v>587</v>
      </c>
      <c r="O39" s="152">
        <f t="shared" si="13"/>
        <v>713</v>
      </c>
      <c r="P39" s="152">
        <f t="shared" si="8"/>
        <v>886</v>
      </c>
      <c r="Q39" s="152">
        <f t="shared" si="9"/>
        <v>886</v>
      </c>
      <c r="R39" s="152">
        <f t="shared" si="10"/>
        <v>886</v>
      </c>
      <c r="S39" s="152">
        <f t="shared" si="11"/>
        <v>886</v>
      </c>
      <c r="T39" s="152">
        <f t="shared" si="12"/>
        <v>886</v>
      </c>
    </row>
    <row r="40" spans="5:20" s="255" customFormat="1" ht="15.75" hidden="1">
      <c r="E40" s="256"/>
      <c r="F40" s="164" t="s">
        <v>440</v>
      </c>
      <c r="G40" s="164">
        <f>LOOKUP(F72,porantvar1,cod06cargosvar1mar10)</f>
        <v>886</v>
      </c>
      <c r="H40" s="257"/>
      <c r="I40" s="258"/>
      <c r="J40" s="258"/>
      <c r="K40" s="164"/>
      <c r="L40" s="11"/>
      <c r="M40" s="135"/>
      <c r="N40" s="135"/>
      <c r="O40" s="135"/>
      <c r="P40" s="135"/>
      <c r="Q40" s="135"/>
      <c r="R40" s="135"/>
      <c r="S40" s="135"/>
      <c r="T40" s="135"/>
    </row>
    <row r="41" spans="5:20" s="255" customFormat="1" ht="15.75" hidden="1">
      <c r="E41" s="256"/>
      <c r="F41" s="164"/>
      <c r="G41" s="164"/>
      <c r="H41" s="257"/>
      <c r="I41" s="258"/>
      <c r="J41" s="258"/>
      <c r="K41" s="164"/>
      <c r="L41" s="11"/>
      <c r="M41" s="135"/>
      <c r="N41" s="135"/>
      <c r="O41" s="135"/>
      <c r="P41" s="135"/>
      <c r="Q41" s="135"/>
      <c r="R41" s="135"/>
      <c r="S41" s="135"/>
      <c r="T41" s="135"/>
    </row>
    <row r="42" spans="5:20" s="255" customFormat="1" ht="16.5" hidden="1" thickBot="1">
      <c r="E42"/>
      <c r="F42" t="s">
        <v>395</v>
      </c>
      <c r="G42" s="10" t="s">
        <v>397</v>
      </c>
      <c r="H42" s="10" t="s">
        <v>398</v>
      </c>
      <c r="I42" s="133" t="s">
        <v>399</v>
      </c>
      <c r="J42" s="133" t="s">
        <v>400</v>
      </c>
      <c r="K42" s="133" t="s">
        <v>401</v>
      </c>
      <c r="L42" s="133" t="s">
        <v>402</v>
      </c>
      <c r="M42" s="133" t="s">
        <v>403</v>
      </c>
      <c r="N42" s="133" t="s">
        <v>404</v>
      </c>
      <c r="O42" s="148" t="s">
        <v>405</v>
      </c>
      <c r="P42" s="148">
        <v>1</v>
      </c>
      <c r="Q42" s="148">
        <v>2</v>
      </c>
      <c r="R42" s="148">
        <v>3</v>
      </c>
      <c r="S42" s="148">
        <v>4</v>
      </c>
      <c r="T42" s="148">
        <v>5</v>
      </c>
    </row>
    <row r="43" spans="5:20" s="255" customFormat="1" ht="15.75" hidden="1">
      <c r="E43" s="123">
        <v>0</v>
      </c>
      <c r="F43" s="420">
        <f aca="true" t="shared" si="14" ref="F43:F54">IF(puntosproljorvarios1&lt;620,T43,O43)</f>
        <v>409</v>
      </c>
      <c r="G43" s="414">
        <v>409</v>
      </c>
      <c r="H43" s="414">
        <v>99</v>
      </c>
      <c r="I43" s="414">
        <v>0</v>
      </c>
      <c r="J43" s="414">
        <v>0</v>
      </c>
      <c r="K43" s="414">
        <v>0</v>
      </c>
      <c r="L43" s="414">
        <v>0</v>
      </c>
      <c r="M43" s="414">
        <v>99</v>
      </c>
      <c r="N43" s="414">
        <v>99</v>
      </c>
      <c r="O43" s="152">
        <f>IF(punbasjubvarios1&gt;971,N43,M43)</f>
        <v>99</v>
      </c>
      <c r="P43" s="152">
        <f aca="true" t="shared" si="15" ref="P43:P54">IF(punbasjubvarios1&lt;972,G43,H43)</f>
        <v>409</v>
      </c>
      <c r="Q43" s="152">
        <f aca="true" t="shared" si="16" ref="Q43:Q54">IF(punbasjubvarios1&lt;1170,P43,I43)</f>
        <v>409</v>
      </c>
      <c r="R43" s="152">
        <f aca="true" t="shared" si="17" ref="R43:R54">IF(punbasjubvarios1&lt;1401,Q43,J43)</f>
        <v>409</v>
      </c>
      <c r="S43" s="152">
        <f aca="true" t="shared" si="18" ref="S43:S54">IF(punbasjubvarios1&lt;1943,R43,K43)</f>
        <v>409</v>
      </c>
      <c r="T43" s="152">
        <f aca="true" t="shared" si="19" ref="T43:T54">IF(punbasjubvarios1&lt;=2220,S43,L43)</f>
        <v>409</v>
      </c>
    </row>
    <row r="44" spans="5:20" s="255" customFormat="1" ht="15.75" hidden="1">
      <c r="E44" s="124">
        <v>0.1</v>
      </c>
      <c r="F44" s="420">
        <f t="shared" si="14"/>
        <v>431</v>
      </c>
      <c r="G44" s="414">
        <v>431</v>
      </c>
      <c r="H44" s="414">
        <v>112</v>
      </c>
      <c r="I44" s="414">
        <v>0</v>
      </c>
      <c r="J44" s="414">
        <v>0</v>
      </c>
      <c r="K44" s="414">
        <v>0</v>
      </c>
      <c r="L44" s="414">
        <v>0</v>
      </c>
      <c r="M44" s="414">
        <v>112</v>
      </c>
      <c r="N44" s="414">
        <v>112</v>
      </c>
      <c r="O44" s="152">
        <f aca="true" t="shared" si="20" ref="O44:O54">IF(punbasjubvarios1&gt;971,N44,M44)</f>
        <v>112</v>
      </c>
      <c r="P44" s="152">
        <f t="shared" si="15"/>
        <v>431</v>
      </c>
      <c r="Q44" s="152">
        <f t="shared" si="16"/>
        <v>431</v>
      </c>
      <c r="R44" s="152">
        <f t="shared" si="17"/>
        <v>431</v>
      </c>
      <c r="S44" s="152">
        <f t="shared" si="18"/>
        <v>431</v>
      </c>
      <c r="T44" s="152">
        <f t="shared" si="19"/>
        <v>431</v>
      </c>
    </row>
    <row r="45" spans="5:20" s="255" customFormat="1" ht="15.75" hidden="1">
      <c r="E45" s="125">
        <v>0.15</v>
      </c>
      <c r="F45" s="420">
        <f t="shared" si="14"/>
        <v>555</v>
      </c>
      <c r="G45" s="414">
        <v>555</v>
      </c>
      <c r="H45" s="414">
        <v>224</v>
      </c>
      <c r="I45" s="414">
        <v>298</v>
      </c>
      <c r="J45" s="414">
        <v>240</v>
      </c>
      <c r="K45" s="414">
        <v>224</v>
      </c>
      <c r="L45" s="414">
        <v>0</v>
      </c>
      <c r="M45" s="414">
        <v>273</v>
      </c>
      <c r="N45" s="414">
        <v>273</v>
      </c>
      <c r="O45" s="152">
        <f t="shared" si="20"/>
        <v>273</v>
      </c>
      <c r="P45" s="152">
        <f t="shared" si="15"/>
        <v>555</v>
      </c>
      <c r="Q45" s="152">
        <f t="shared" si="16"/>
        <v>555</v>
      </c>
      <c r="R45" s="152">
        <f t="shared" si="17"/>
        <v>555</v>
      </c>
      <c r="S45" s="152">
        <f t="shared" si="18"/>
        <v>555</v>
      </c>
      <c r="T45" s="152">
        <f t="shared" si="19"/>
        <v>555</v>
      </c>
    </row>
    <row r="46" spans="5:20" s="255" customFormat="1" ht="15.75" hidden="1">
      <c r="E46" s="125">
        <v>0.3</v>
      </c>
      <c r="F46" s="420">
        <f t="shared" si="14"/>
        <v>623</v>
      </c>
      <c r="G46" s="414">
        <v>623</v>
      </c>
      <c r="H46" s="414">
        <v>242</v>
      </c>
      <c r="I46" s="414">
        <v>298</v>
      </c>
      <c r="J46" s="414">
        <v>240</v>
      </c>
      <c r="K46" s="414">
        <v>224</v>
      </c>
      <c r="L46" s="414">
        <v>0</v>
      </c>
      <c r="M46" s="414">
        <v>472</v>
      </c>
      <c r="N46" s="414">
        <v>435</v>
      </c>
      <c r="O46" s="152">
        <f t="shared" si="20"/>
        <v>472</v>
      </c>
      <c r="P46" s="152">
        <f t="shared" si="15"/>
        <v>623</v>
      </c>
      <c r="Q46" s="152">
        <f t="shared" si="16"/>
        <v>623</v>
      </c>
      <c r="R46" s="152">
        <f t="shared" si="17"/>
        <v>623</v>
      </c>
      <c r="S46" s="152">
        <f t="shared" si="18"/>
        <v>623</v>
      </c>
      <c r="T46" s="152">
        <f t="shared" si="19"/>
        <v>623</v>
      </c>
    </row>
    <row r="47" spans="5:20" s="255" customFormat="1" ht="15.75" hidden="1">
      <c r="E47" s="125">
        <v>0.4</v>
      </c>
      <c r="F47" s="420">
        <f t="shared" si="14"/>
        <v>646</v>
      </c>
      <c r="G47" s="414">
        <v>646</v>
      </c>
      <c r="H47" s="414">
        <v>261</v>
      </c>
      <c r="I47" s="414">
        <v>311</v>
      </c>
      <c r="J47" s="414">
        <v>248</v>
      </c>
      <c r="K47" s="414">
        <v>224</v>
      </c>
      <c r="L47" s="414">
        <v>174</v>
      </c>
      <c r="M47" s="414">
        <v>546</v>
      </c>
      <c r="N47" s="414">
        <v>497</v>
      </c>
      <c r="O47" s="152">
        <f t="shared" si="20"/>
        <v>546</v>
      </c>
      <c r="P47" s="152">
        <f t="shared" si="15"/>
        <v>646</v>
      </c>
      <c r="Q47" s="152">
        <f t="shared" si="16"/>
        <v>646</v>
      </c>
      <c r="R47" s="152">
        <f t="shared" si="17"/>
        <v>646</v>
      </c>
      <c r="S47" s="152">
        <f t="shared" si="18"/>
        <v>646</v>
      </c>
      <c r="T47" s="152">
        <f t="shared" si="19"/>
        <v>646</v>
      </c>
    </row>
    <row r="48" spans="5:20" s="255" customFormat="1" ht="15.75" hidden="1">
      <c r="E48" s="125">
        <v>0.5</v>
      </c>
      <c r="F48" s="420">
        <f t="shared" si="14"/>
        <v>565</v>
      </c>
      <c r="G48" s="414">
        <v>565</v>
      </c>
      <c r="H48" s="414">
        <v>286</v>
      </c>
      <c r="I48" s="414">
        <v>311</v>
      </c>
      <c r="J48" s="414">
        <v>248</v>
      </c>
      <c r="K48" s="414">
        <v>224</v>
      </c>
      <c r="L48" s="414">
        <v>174</v>
      </c>
      <c r="M48" s="414">
        <v>590</v>
      </c>
      <c r="N48" s="414">
        <v>540</v>
      </c>
      <c r="O48" s="152">
        <f t="shared" si="20"/>
        <v>590</v>
      </c>
      <c r="P48" s="152">
        <f t="shared" si="15"/>
        <v>565</v>
      </c>
      <c r="Q48" s="152">
        <f t="shared" si="16"/>
        <v>565</v>
      </c>
      <c r="R48" s="152">
        <f t="shared" si="17"/>
        <v>565</v>
      </c>
      <c r="S48" s="152">
        <f t="shared" si="18"/>
        <v>565</v>
      </c>
      <c r="T48" s="152">
        <f t="shared" si="19"/>
        <v>565</v>
      </c>
    </row>
    <row r="49" spans="5:20" s="255" customFormat="1" ht="15.75" hidden="1">
      <c r="E49" s="125">
        <v>0.6</v>
      </c>
      <c r="F49" s="420">
        <f t="shared" si="14"/>
        <v>578</v>
      </c>
      <c r="G49" s="414">
        <v>578</v>
      </c>
      <c r="H49" s="414">
        <v>323</v>
      </c>
      <c r="I49" s="414">
        <v>323</v>
      </c>
      <c r="J49" s="414">
        <v>252</v>
      </c>
      <c r="K49" s="414">
        <v>236</v>
      </c>
      <c r="L49" s="414">
        <v>199</v>
      </c>
      <c r="M49" s="414">
        <v>633</v>
      </c>
      <c r="N49" s="414">
        <v>559</v>
      </c>
      <c r="O49" s="152">
        <f t="shared" si="20"/>
        <v>633</v>
      </c>
      <c r="P49" s="152">
        <f t="shared" si="15"/>
        <v>578</v>
      </c>
      <c r="Q49" s="152">
        <f t="shared" si="16"/>
        <v>578</v>
      </c>
      <c r="R49" s="152">
        <f t="shared" si="17"/>
        <v>578</v>
      </c>
      <c r="S49" s="152">
        <f t="shared" si="18"/>
        <v>578</v>
      </c>
      <c r="T49" s="152">
        <f t="shared" si="19"/>
        <v>578</v>
      </c>
    </row>
    <row r="50" spans="5:20" s="255" customFormat="1" ht="15.75" hidden="1">
      <c r="E50" s="125">
        <v>0.7</v>
      </c>
      <c r="F50" s="420">
        <f t="shared" si="14"/>
        <v>553</v>
      </c>
      <c r="G50" s="414">
        <v>553</v>
      </c>
      <c r="H50" s="414">
        <v>354</v>
      </c>
      <c r="I50" s="414">
        <v>453</v>
      </c>
      <c r="J50" s="414">
        <v>286</v>
      </c>
      <c r="K50" s="414">
        <v>236</v>
      </c>
      <c r="L50" s="414">
        <v>199</v>
      </c>
      <c r="M50" s="414">
        <v>652</v>
      </c>
      <c r="N50" s="414">
        <v>578</v>
      </c>
      <c r="O50" s="152">
        <f t="shared" si="20"/>
        <v>652</v>
      </c>
      <c r="P50" s="152">
        <f t="shared" si="15"/>
        <v>553</v>
      </c>
      <c r="Q50" s="152">
        <f t="shared" si="16"/>
        <v>553</v>
      </c>
      <c r="R50" s="152">
        <f t="shared" si="17"/>
        <v>553</v>
      </c>
      <c r="S50" s="152">
        <f t="shared" si="18"/>
        <v>553</v>
      </c>
      <c r="T50" s="152">
        <f t="shared" si="19"/>
        <v>553</v>
      </c>
    </row>
    <row r="51" spans="5:20" s="255" customFormat="1" ht="15.75" hidden="1">
      <c r="E51" s="125">
        <v>0.8</v>
      </c>
      <c r="F51" s="420">
        <f t="shared" si="14"/>
        <v>664</v>
      </c>
      <c r="G51" s="414">
        <v>664</v>
      </c>
      <c r="H51" s="414">
        <v>428</v>
      </c>
      <c r="I51" s="414">
        <v>491</v>
      </c>
      <c r="J51" s="414">
        <v>422</v>
      </c>
      <c r="K51" s="414">
        <v>348</v>
      </c>
      <c r="L51" s="414">
        <v>224</v>
      </c>
      <c r="M51" s="414">
        <v>689</v>
      </c>
      <c r="N51" s="414">
        <v>590</v>
      </c>
      <c r="O51" s="152">
        <f t="shared" si="20"/>
        <v>689</v>
      </c>
      <c r="P51" s="152">
        <f t="shared" si="15"/>
        <v>664</v>
      </c>
      <c r="Q51" s="152">
        <f t="shared" si="16"/>
        <v>664</v>
      </c>
      <c r="R51" s="152">
        <f t="shared" si="17"/>
        <v>664</v>
      </c>
      <c r="S51" s="152">
        <f t="shared" si="18"/>
        <v>664</v>
      </c>
      <c r="T51" s="152">
        <f t="shared" si="19"/>
        <v>664</v>
      </c>
    </row>
    <row r="52" spans="5:20" s="255" customFormat="1" ht="15.75" hidden="1">
      <c r="E52" s="125">
        <v>1</v>
      </c>
      <c r="F52" s="420">
        <f t="shared" si="14"/>
        <v>826</v>
      </c>
      <c r="G52" s="414">
        <v>826</v>
      </c>
      <c r="H52" s="414">
        <v>540</v>
      </c>
      <c r="I52" s="414">
        <v>509</v>
      </c>
      <c r="J52" s="414">
        <v>410</v>
      </c>
      <c r="K52" s="414">
        <v>385</v>
      </c>
      <c r="L52" s="414">
        <v>224</v>
      </c>
      <c r="M52" s="414">
        <v>733</v>
      </c>
      <c r="N52" s="414">
        <v>609</v>
      </c>
      <c r="O52" s="152">
        <f t="shared" si="20"/>
        <v>733</v>
      </c>
      <c r="P52" s="152">
        <f t="shared" si="15"/>
        <v>826</v>
      </c>
      <c r="Q52" s="152">
        <f t="shared" si="16"/>
        <v>826</v>
      </c>
      <c r="R52" s="152">
        <f t="shared" si="17"/>
        <v>826</v>
      </c>
      <c r="S52" s="152">
        <f t="shared" si="18"/>
        <v>826</v>
      </c>
      <c r="T52" s="152">
        <f t="shared" si="19"/>
        <v>826</v>
      </c>
    </row>
    <row r="53" spans="5:20" s="255" customFormat="1" ht="15.75" hidden="1">
      <c r="E53" s="125">
        <v>1.1</v>
      </c>
      <c r="F53" s="420">
        <f t="shared" si="14"/>
        <v>925</v>
      </c>
      <c r="G53" s="414">
        <v>925</v>
      </c>
      <c r="H53" s="414">
        <v>615</v>
      </c>
      <c r="I53" s="414">
        <v>534</v>
      </c>
      <c r="J53" s="414">
        <v>410</v>
      </c>
      <c r="K53" s="414">
        <v>397</v>
      </c>
      <c r="L53" s="414">
        <v>236</v>
      </c>
      <c r="M53" s="414">
        <v>764</v>
      </c>
      <c r="N53" s="414">
        <v>627</v>
      </c>
      <c r="O53" s="152">
        <f t="shared" si="20"/>
        <v>764</v>
      </c>
      <c r="P53" s="152">
        <f t="shared" si="15"/>
        <v>925</v>
      </c>
      <c r="Q53" s="152">
        <f t="shared" si="16"/>
        <v>925</v>
      </c>
      <c r="R53" s="152">
        <f t="shared" si="17"/>
        <v>925</v>
      </c>
      <c r="S53" s="152">
        <f t="shared" si="18"/>
        <v>925</v>
      </c>
      <c r="T53" s="152">
        <f t="shared" si="19"/>
        <v>925</v>
      </c>
    </row>
    <row r="54" spans="5:20" s="255" customFormat="1" ht="16.5" hidden="1" thickBot="1">
      <c r="E54" s="126">
        <v>1.2</v>
      </c>
      <c r="F54" s="420">
        <f t="shared" si="14"/>
        <v>956</v>
      </c>
      <c r="G54" s="414">
        <v>956</v>
      </c>
      <c r="H54" s="414">
        <v>633</v>
      </c>
      <c r="I54" s="414">
        <v>596</v>
      </c>
      <c r="J54" s="414">
        <v>416</v>
      </c>
      <c r="K54" s="414">
        <v>410</v>
      </c>
      <c r="L54" s="414">
        <v>236</v>
      </c>
      <c r="M54" s="414">
        <v>770</v>
      </c>
      <c r="N54" s="414">
        <v>633</v>
      </c>
      <c r="O54" s="152">
        <f t="shared" si="20"/>
        <v>770</v>
      </c>
      <c r="P54" s="152">
        <f t="shared" si="15"/>
        <v>956</v>
      </c>
      <c r="Q54" s="152">
        <f t="shared" si="16"/>
        <v>956</v>
      </c>
      <c r="R54" s="152">
        <f t="shared" si="17"/>
        <v>956</v>
      </c>
      <c r="S54" s="152">
        <f t="shared" si="18"/>
        <v>956</v>
      </c>
      <c r="T54" s="152">
        <f t="shared" si="19"/>
        <v>956</v>
      </c>
    </row>
    <row r="55" spans="5:20" s="255" customFormat="1" ht="15.75" hidden="1">
      <c r="E55" s="256"/>
      <c r="F55" s="164"/>
      <c r="G55" s="164"/>
      <c r="H55" s="257"/>
      <c r="I55" s="258"/>
      <c r="J55" s="258"/>
      <c r="K55" s="164"/>
      <c r="L55" s="11"/>
      <c r="M55" s="135"/>
      <c r="N55" s="135"/>
      <c r="O55" s="135"/>
      <c r="P55" s="135"/>
      <c r="Q55" s="135"/>
      <c r="R55" s="135"/>
      <c r="S55" s="135"/>
      <c r="T55" s="135"/>
    </row>
    <row r="56" spans="5:20" s="255" customFormat="1" ht="15.75" hidden="1">
      <c r="E56" s="256"/>
      <c r="F56" s="164" t="s">
        <v>441</v>
      </c>
      <c r="G56" s="164">
        <f>LOOKUP(F72,porantvar1,cod06cargosvar1jul10)</f>
        <v>956</v>
      </c>
      <c r="H56" s="257"/>
      <c r="I56" s="258"/>
      <c r="J56" s="258"/>
      <c r="K56" s="164"/>
      <c r="L56" s="11"/>
      <c r="M56" s="135"/>
      <c r="N56" s="135"/>
      <c r="O56" s="135"/>
      <c r="P56" s="135"/>
      <c r="Q56" s="135"/>
      <c r="R56" s="135"/>
      <c r="S56" s="135"/>
      <c r="T56" s="135"/>
    </row>
    <row r="57" spans="5:20" s="255" customFormat="1" ht="15.75" hidden="1">
      <c r="E57" s="256"/>
      <c r="F57" s="164"/>
      <c r="G57" s="164"/>
      <c r="H57" s="257"/>
      <c r="I57" s="258"/>
      <c r="J57" s="258"/>
      <c r="K57" s="164"/>
      <c r="L57" s="11"/>
      <c r="M57" s="135"/>
      <c r="N57" s="135"/>
      <c r="O57" s="135"/>
      <c r="P57" s="135"/>
      <c r="Q57" s="135"/>
      <c r="R57" s="135"/>
      <c r="S57" s="135"/>
      <c r="T57" s="135"/>
    </row>
    <row r="58" spans="5:20" s="255" customFormat="1" ht="15.75" hidden="1">
      <c r="E58" s="256"/>
      <c r="F58" s="164"/>
      <c r="G58" s="164"/>
      <c r="H58" s="257"/>
      <c r="I58" s="258"/>
      <c r="J58" s="258"/>
      <c r="K58" s="164"/>
      <c r="L58" s="11"/>
      <c r="M58" s="135"/>
      <c r="N58" s="135"/>
      <c r="O58" s="135"/>
      <c r="P58" s="135"/>
      <c r="Q58" s="135"/>
      <c r="R58" s="135"/>
      <c r="S58" s="135"/>
      <c r="T58" s="135"/>
    </row>
    <row r="59" spans="4:20" s="161" customFormat="1" ht="15.75">
      <c r="D59" s="437" t="s">
        <v>455</v>
      </c>
      <c r="E59" s="438"/>
      <c r="F59" s="439"/>
      <c r="G59" s="439"/>
      <c r="H59" s="440"/>
      <c r="I59" s="441"/>
      <c r="J59" s="441"/>
      <c r="K59" s="439"/>
      <c r="L59" s="442"/>
      <c r="M59" s="443"/>
      <c r="N59" s="443"/>
      <c r="O59" s="443"/>
      <c r="P59" s="443"/>
      <c r="Q59" s="443"/>
      <c r="R59" s="443"/>
      <c r="S59" s="443"/>
      <c r="T59" s="443"/>
    </row>
    <row r="60" spans="1:15" ht="12.75">
      <c r="A60" s="162">
        <v>1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</row>
    <row r="61" spans="1:17" ht="20.25">
      <c r="A61" s="162">
        <v>1</v>
      </c>
      <c r="B61" s="49"/>
      <c r="C61" s="106"/>
      <c r="D61" s="106"/>
      <c r="E61" s="80" t="s">
        <v>387</v>
      </c>
      <c r="F61" s="10"/>
      <c r="G61" s="10"/>
      <c r="H61" s="106"/>
      <c r="I61" s="106"/>
      <c r="J61" s="106"/>
      <c r="K61" s="106"/>
      <c r="L61" s="106"/>
      <c r="M61" s="106"/>
      <c r="N61" s="163"/>
      <c r="O61" s="281"/>
      <c r="P61" s="164"/>
      <c r="Q61" s="164"/>
    </row>
    <row r="62" spans="1:17" ht="12.75">
      <c r="A62" s="162">
        <v>1</v>
      </c>
      <c r="B62" s="49"/>
      <c r="C62" s="49"/>
      <c r="D62" s="49"/>
      <c r="E62" s="49"/>
      <c r="F62" s="49"/>
      <c r="G62" s="49"/>
      <c r="H62" s="271"/>
      <c r="I62" s="49"/>
      <c r="J62" s="49"/>
      <c r="K62" s="49"/>
      <c r="L62" s="49"/>
      <c r="M62" s="49"/>
      <c r="N62" s="163"/>
      <c r="O62" s="281"/>
      <c r="P62" s="164"/>
      <c r="Q62" s="164"/>
    </row>
    <row r="63" spans="1:17" ht="12.75">
      <c r="A63" s="162">
        <v>1</v>
      </c>
      <c r="B63" s="162"/>
      <c r="C63" s="162"/>
      <c r="D63" s="44" t="s">
        <v>37</v>
      </c>
      <c r="E63" s="44" t="s">
        <v>341</v>
      </c>
      <c r="F63" s="44" t="s">
        <v>342</v>
      </c>
      <c r="G63" s="44" t="s">
        <v>343</v>
      </c>
      <c r="H63" s="44" t="s">
        <v>344</v>
      </c>
      <c r="I63" s="100" t="s">
        <v>406</v>
      </c>
      <c r="J63" s="49"/>
      <c r="K63" s="49"/>
      <c r="L63" s="49"/>
      <c r="M63" s="49"/>
      <c r="N63" s="163"/>
      <c r="O63" s="281"/>
      <c r="P63" s="164"/>
      <c r="Q63" s="164"/>
    </row>
    <row r="64" spans="1:17" ht="16.5" thickBot="1">
      <c r="A64" s="162">
        <v>1</v>
      </c>
      <c r="B64" s="162"/>
      <c r="C64" s="162"/>
      <c r="D64" s="117">
        <v>920</v>
      </c>
      <c r="E64" s="81">
        <f>LOOKUP(D64,[0]!numerocargo,[0]!puntosbasicoscargo)</f>
        <v>971</v>
      </c>
      <c r="F64" s="81">
        <f>LOOKUP(D64,[0]!numerocargo,[0]!tardifcargo)</f>
        <v>150</v>
      </c>
      <c r="G64" s="81">
        <f>LOOKUP(D64,[0]!numerocargo,[0]!proljorcargo)</f>
        <v>0</v>
      </c>
      <c r="H64" s="81">
        <f>LOOKUP(D64,[0]!numerocargo,[0]!jorcomcargo)</f>
        <v>0</v>
      </c>
      <c r="I64" s="44">
        <f>LOOKUP(D64,Cargos!A3:A314,puntoscompbasico)</f>
        <v>170</v>
      </c>
      <c r="J64" s="49"/>
      <c r="K64" s="49"/>
      <c r="L64" s="49"/>
      <c r="M64" s="49"/>
      <c r="N64" s="163"/>
      <c r="O64" s="281"/>
      <c r="P64" s="164"/>
      <c r="Q64" s="164"/>
    </row>
    <row r="65" spans="1:17" ht="13.5" thickBot="1">
      <c r="A65" s="162">
        <v>1</v>
      </c>
      <c r="B65" s="162"/>
      <c r="C65" s="162"/>
      <c r="D65" s="82" t="s">
        <v>38</v>
      </c>
      <c r="E65" s="83" t="str">
        <f>LOOKUP(D64,[0]!numerocargo,[0]!nombrecargo)</f>
        <v> MAESTRO DE GRUPO ESC. DIFERENCIADA</v>
      </c>
      <c r="F65" s="42"/>
      <c r="G65" s="42"/>
      <c r="H65" s="62"/>
      <c r="I65" s="49"/>
      <c r="J65" s="49"/>
      <c r="K65" s="49"/>
      <c r="L65" s="49"/>
      <c r="M65" s="49"/>
      <c r="N65" s="163"/>
      <c r="O65" s="281"/>
      <c r="P65" s="164"/>
      <c r="Q65" s="164"/>
    </row>
    <row r="66" spans="1:17" ht="13.5" thickBot="1">
      <c r="A66" s="162">
        <v>1</v>
      </c>
      <c r="B66" s="162"/>
      <c r="C66" s="162"/>
      <c r="D66" s="270"/>
      <c r="E66" s="271"/>
      <c r="F66" s="49"/>
      <c r="G66" s="49"/>
      <c r="H66" s="49"/>
      <c r="I66" s="128" t="s">
        <v>364</v>
      </c>
      <c r="J66" s="373"/>
      <c r="K66" s="373"/>
      <c r="L66" s="373"/>
      <c r="M66" s="49"/>
      <c r="N66" s="49"/>
      <c r="O66" s="49"/>
      <c r="P66" s="10"/>
      <c r="Q66" s="10"/>
    </row>
    <row r="67" spans="1:17" ht="19.5" thickBot="1" thickTop="1">
      <c r="A67" s="162">
        <v>1</v>
      </c>
      <c r="B67" s="162"/>
      <c r="C67" s="162"/>
      <c r="D67" s="165" t="s">
        <v>358</v>
      </c>
      <c r="E67" s="122"/>
      <c r="F67" s="122"/>
      <c r="G67" s="122"/>
      <c r="H67" s="166">
        <v>120</v>
      </c>
      <c r="I67" s="129">
        <f>H67/120</f>
        <v>1</v>
      </c>
      <c r="J67" s="271"/>
      <c r="K67" s="271"/>
      <c r="L67" s="271"/>
      <c r="M67" s="49"/>
      <c r="N67" s="49"/>
      <c r="O67" s="49"/>
      <c r="P67" s="10"/>
      <c r="Q67" s="10"/>
    </row>
    <row r="68" spans="1:17" ht="17.25" thickBot="1" thickTop="1">
      <c r="A68" s="162">
        <v>1</v>
      </c>
      <c r="B68" s="270"/>
      <c r="C68" s="271"/>
      <c r="D68" s="49"/>
      <c r="E68" s="49"/>
      <c r="F68" s="367"/>
      <c r="G68" s="49"/>
      <c r="H68" s="271"/>
      <c r="I68" s="49"/>
      <c r="J68" s="49"/>
      <c r="K68" s="49"/>
      <c r="L68" s="49"/>
      <c r="M68" s="49"/>
      <c r="N68" s="49"/>
      <c r="O68" s="49"/>
      <c r="P68" s="10"/>
      <c r="Q68" s="10"/>
    </row>
    <row r="69" spans="1:17" ht="17.25" thickBot="1" thickTop="1">
      <c r="A69" s="162">
        <v>1</v>
      </c>
      <c r="B69" s="270"/>
      <c r="C69" s="162"/>
      <c r="D69" s="120" t="s">
        <v>366</v>
      </c>
      <c r="E69" s="132">
        <v>0</v>
      </c>
      <c r="F69" s="367"/>
      <c r="G69" s="49"/>
      <c r="H69" s="271"/>
      <c r="I69" s="49"/>
      <c r="J69" s="49"/>
      <c r="K69" s="49"/>
      <c r="L69" s="49"/>
      <c r="M69" s="49"/>
      <c r="N69" s="49"/>
      <c r="O69" s="49"/>
      <c r="P69" s="10"/>
      <c r="Q69" s="10"/>
    </row>
    <row r="70" spans="1:17" ht="14.25" thickBot="1" thickTop="1">
      <c r="A70" s="162">
        <v>1</v>
      </c>
      <c r="B70" s="270"/>
      <c r="C70" s="271"/>
      <c r="D70" s="49"/>
      <c r="E70" s="49"/>
      <c r="F70" s="49"/>
      <c r="G70" s="49"/>
      <c r="H70" s="271"/>
      <c r="I70" s="49"/>
      <c r="J70" s="49"/>
      <c r="K70" s="49"/>
      <c r="L70" s="49"/>
      <c r="M70" s="49"/>
      <c r="N70" s="49"/>
      <c r="O70" s="49"/>
      <c r="P70" s="10"/>
      <c r="Q70" s="10"/>
    </row>
    <row r="71" spans="1:17" ht="16.5" thickBot="1">
      <c r="A71" s="162">
        <v>1</v>
      </c>
      <c r="B71" s="49"/>
      <c r="C71" s="106"/>
      <c r="D71" s="84" t="s">
        <v>13</v>
      </c>
      <c r="E71" s="42"/>
      <c r="F71" s="85">
        <f>E64*indicefeb09</f>
        <v>725.337</v>
      </c>
      <c r="G71" s="106"/>
      <c r="H71" s="106"/>
      <c r="I71" s="106"/>
      <c r="J71" s="106"/>
      <c r="K71" s="106"/>
      <c r="L71" s="106"/>
      <c r="M71" s="167"/>
      <c r="N71" s="167"/>
      <c r="O71" s="106"/>
      <c r="P71" s="10"/>
      <c r="Q71" s="10"/>
    </row>
    <row r="72" spans="1:17" ht="16.5" thickBot="1">
      <c r="A72" s="162">
        <v>1</v>
      </c>
      <c r="B72" s="49"/>
      <c r="C72" s="106"/>
      <c r="D72" s="84" t="s">
        <v>14</v>
      </c>
      <c r="E72" s="42"/>
      <c r="F72" s="119">
        <v>1.2</v>
      </c>
      <c r="G72" s="10" t="s">
        <v>15</v>
      </c>
      <c r="H72" s="10"/>
      <c r="I72" s="106"/>
      <c r="J72" s="106"/>
      <c r="K72" s="106"/>
      <c r="L72" s="106"/>
      <c r="M72" s="106"/>
      <c r="N72" s="167"/>
      <c r="O72" s="106"/>
      <c r="P72" s="10"/>
      <c r="Q72" s="10"/>
    </row>
    <row r="73" spans="1:17" ht="15.75">
      <c r="A73" s="162">
        <v>1</v>
      </c>
      <c r="B73" s="49"/>
      <c r="C73" s="106"/>
      <c r="D73" s="49"/>
      <c r="E73" s="49"/>
      <c r="F73" s="168"/>
      <c r="G73" s="106"/>
      <c r="H73" s="106"/>
      <c r="I73" s="106"/>
      <c r="J73" s="106"/>
      <c r="K73" s="106"/>
      <c r="L73" s="106"/>
      <c r="M73" s="106"/>
      <c r="N73" s="169"/>
      <c r="O73" s="106"/>
      <c r="P73" s="10"/>
      <c r="Q73" s="10"/>
    </row>
    <row r="74" spans="1:17" ht="18.75" thickBot="1">
      <c r="A74" s="162">
        <v>1</v>
      </c>
      <c r="B74" s="49"/>
      <c r="C74" s="106"/>
      <c r="D74" s="87" t="s">
        <v>16</v>
      </c>
      <c r="E74" s="87"/>
      <c r="F74" s="88">
        <f>E64</f>
        <v>971</v>
      </c>
      <c r="G74" s="10" t="s">
        <v>17</v>
      </c>
      <c r="H74" s="106"/>
      <c r="I74" s="331">
        <f>H64+G64</f>
        <v>0</v>
      </c>
      <c r="J74" s="167"/>
      <c r="K74" s="167"/>
      <c r="L74" s="167"/>
      <c r="M74" s="49"/>
      <c r="N74" s="106"/>
      <c r="O74" s="106"/>
      <c r="P74" s="10"/>
      <c r="Q74" s="10"/>
    </row>
    <row r="75" spans="1:17" ht="18">
      <c r="A75" s="162"/>
      <c r="B75" s="49"/>
      <c r="C75" s="106"/>
      <c r="D75" s="216"/>
      <c r="E75" s="216"/>
      <c r="F75" s="217"/>
      <c r="G75" s="106"/>
      <c r="H75" s="106"/>
      <c r="I75" s="167"/>
      <c r="J75" s="167"/>
      <c r="K75" s="167"/>
      <c r="L75" s="167"/>
      <c r="M75" s="49"/>
      <c r="N75" s="106"/>
      <c r="O75" s="106"/>
      <c r="P75" s="10"/>
      <c r="Q75" s="10"/>
    </row>
    <row r="76" spans="1:15" ht="15.75">
      <c r="A76" s="162"/>
      <c r="B76" s="49"/>
      <c r="C76" s="106"/>
      <c r="D76" s="10"/>
      <c r="E76" s="157" t="s">
        <v>428</v>
      </c>
      <c r="F76" s="10"/>
      <c r="G76" s="162"/>
      <c r="H76" s="10"/>
      <c r="I76" s="157" t="s">
        <v>448</v>
      </c>
      <c r="J76" s="10"/>
      <c r="K76" s="162"/>
      <c r="L76" s="10"/>
      <c r="M76" s="157" t="s">
        <v>449</v>
      </c>
      <c r="N76" s="10"/>
      <c r="O76" s="162"/>
    </row>
    <row r="77" spans="1:15" ht="12.75">
      <c r="A77" s="162">
        <v>1</v>
      </c>
      <c r="B77" s="49"/>
      <c r="C77" s="162"/>
      <c r="D77" s="17">
        <v>400</v>
      </c>
      <c r="E77" s="17" t="s">
        <v>18</v>
      </c>
      <c r="F77" s="89">
        <f>punbasjubvarios1*indicefeb09*porjubvarcar*frac1</f>
        <v>594.77634</v>
      </c>
      <c r="G77" s="162"/>
      <c r="H77" s="17">
        <v>400</v>
      </c>
      <c r="I77" s="17" t="s">
        <v>18</v>
      </c>
      <c r="J77" s="89">
        <f>punbasjubvarios1*indicemar2010*porjubvarcar*frac1</f>
        <v>672.089302</v>
      </c>
      <c r="K77" s="162"/>
      <c r="L77" s="17">
        <v>400</v>
      </c>
      <c r="M77" s="17" t="s">
        <v>18</v>
      </c>
      <c r="N77" s="89">
        <f>punbasjubvarios1*indicejul2010*porjubvarcar*frac1</f>
        <v>712.3780340000001</v>
      </c>
      <c r="O77" s="162"/>
    </row>
    <row r="78" spans="1:15" ht="12.75" hidden="1">
      <c r="A78" s="162"/>
      <c r="B78" s="49"/>
      <c r="C78" s="162"/>
      <c r="D78" s="17">
        <v>542</v>
      </c>
      <c r="E78" s="17" t="s">
        <v>418</v>
      </c>
      <c r="F78" s="241">
        <f>compbasicovarios1*indicefeb09*porjubvarcar*frac1</f>
        <v>104.13179999999998</v>
      </c>
      <c r="G78" s="162"/>
      <c r="H78" s="17">
        <v>542</v>
      </c>
      <c r="I78" s="17" t="s">
        <v>418</v>
      </c>
      <c r="J78" s="241">
        <f>compbasicovarios1*indicemar2010*porjubvarcar*frac1</f>
        <v>117.66753999999999</v>
      </c>
      <c r="K78" s="162"/>
      <c r="L78" s="17">
        <v>542</v>
      </c>
      <c r="M78" s="17" t="s">
        <v>418</v>
      </c>
      <c r="N78" s="241">
        <f>compbasicovarios1*indicejul2010*porjubvarcar*frac1</f>
        <v>124.72118</v>
      </c>
      <c r="O78" s="162"/>
    </row>
    <row r="79" spans="1:14" ht="12.75" hidden="1">
      <c r="A79" s="162">
        <v>1</v>
      </c>
      <c r="B79" s="49"/>
      <c r="C79" s="162"/>
      <c r="D79" s="17">
        <v>404</v>
      </c>
      <c r="E79" s="17" t="s">
        <v>346</v>
      </c>
      <c r="F79" s="89">
        <f>puntardifvar1*indicefeb09*porjubvarcar*frac1</f>
        <v>91.88099999999999</v>
      </c>
      <c r="G79" s="162"/>
      <c r="H79" s="17">
        <v>404</v>
      </c>
      <c r="I79" s="17" t="s">
        <v>346</v>
      </c>
      <c r="J79" s="89">
        <f>puntardifvar1*indicemar2010*porjubvarcar*frac1</f>
        <v>103.8243</v>
      </c>
      <c r="L79" s="17">
        <v>404</v>
      </c>
      <c r="M79" s="17" t="s">
        <v>346</v>
      </c>
      <c r="N79" s="89">
        <f>puntardifvar1*indicejul2010*porjubvarcar*frac1</f>
        <v>110.0481</v>
      </c>
    </row>
    <row r="80" spans="1:14" ht="12.75" hidden="1">
      <c r="A80" s="162">
        <v>1</v>
      </c>
      <c r="B80" s="49"/>
      <c r="C80" s="162"/>
      <c r="D80" s="17">
        <v>406</v>
      </c>
      <c r="E80" s="17" t="s">
        <v>19</v>
      </c>
      <c r="F80" s="89">
        <f>(F77+F78+F79+F82)*F72</f>
        <v>948.946968</v>
      </c>
      <c r="G80" s="162"/>
      <c r="H80" s="17">
        <v>406</v>
      </c>
      <c r="I80" s="17" t="s">
        <v>19</v>
      </c>
      <c r="J80" s="89">
        <f>(J77+J78+J79+J82)*F72</f>
        <v>1072.2973703999999</v>
      </c>
      <c r="L80" s="17">
        <v>406</v>
      </c>
      <c r="M80" s="17" t="s">
        <v>19</v>
      </c>
      <c r="N80" s="89">
        <f>(N77+N78+N79+N82)*F72</f>
        <v>1136.5767768</v>
      </c>
    </row>
    <row r="81" spans="1:14" ht="12.75" hidden="1">
      <c r="A81" s="162">
        <v>1</v>
      </c>
      <c r="B81" s="49"/>
      <c r="C81" s="162"/>
      <c r="D81" s="17">
        <v>408</v>
      </c>
      <c r="E81" s="17" t="s">
        <v>365</v>
      </c>
      <c r="F81" s="89">
        <f>(F77+F78+F79+F82)*E69</f>
        <v>0</v>
      </c>
      <c r="G81" s="162"/>
      <c r="H81" s="17">
        <v>408</v>
      </c>
      <c r="I81" s="17" t="s">
        <v>365</v>
      </c>
      <c r="J81" s="89">
        <f>(J77+J78+J79+J82)*E69</f>
        <v>0</v>
      </c>
      <c r="L81" s="17">
        <v>408</v>
      </c>
      <c r="M81" s="17" t="s">
        <v>365</v>
      </c>
      <c r="N81" s="89">
        <f>(N77+N78+N79+N82)*E69</f>
        <v>0</v>
      </c>
    </row>
    <row r="82" spans="1:14" ht="12.75" hidden="1">
      <c r="A82" s="162">
        <v>1</v>
      </c>
      <c r="B82" s="49"/>
      <c r="C82" s="162"/>
      <c r="D82" s="17">
        <v>416</v>
      </c>
      <c r="E82" s="90" t="s">
        <v>347</v>
      </c>
      <c r="F82" s="89">
        <f>puntosproljorvarios1*proljorfeb09*porjubvarcar*frac1</f>
        <v>0</v>
      </c>
      <c r="G82" s="162"/>
      <c r="H82" s="17">
        <v>416</v>
      </c>
      <c r="I82" s="90" t="s">
        <v>347</v>
      </c>
      <c r="J82" s="89">
        <f>puntosproljorvarios1*proljormar2010*porjubvarcar*frac1</f>
        <v>0</v>
      </c>
      <c r="L82" s="17">
        <v>416</v>
      </c>
      <c r="M82" s="90" t="s">
        <v>347</v>
      </c>
      <c r="N82" s="89">
        <f>puntosproljorvarios1*proljorjul2010*porjubvarcar*frac1</f>
        <v>0</v>
      </c>
    </row>
    <row r="83" spans="1:14" ht="12.75" hidden="1">
      <c r="A83" s="162">
        <v>1</v>
      </c>
      <c r="B83" s="49"/>
      <c r="C83" s="162"/>
      <c r="D83" s="17">
        <v>432</v>
      </c>
      <c r="E83" s="17" t="s">
        <v>363</v>
      </c>
      <c r="F83" s="89">
        <f>cod06mar09varios1*porjubvarcar*frac1</f>
        <v>631.4</v>
      </c>
      <c r="G83" s="162"/>
      <c r="H83" s="17">
        <v>432</v>
      </c>
      <c r="I83" s="17" t="s">
        <v>363</v>
      </c>
      <c r="J83" s="89">
        <f>cod06mar10varios1*porjubvarcar*frac1</f>
        <v>726.52</v>
      </c>
      <c r="L83" s="17">
        <v>432</v>
      </c>
      <c r="M83" s="17" t="s">
        <v>363</v>
      </c>
      <c r="N83" s="89">
        <f>cod06jul10varios1*porjubvarcar*frac1</f>
        <v>783.92</v>
      </c>
    </row>
    <row r="84" spans="1:14" ht="12.75" hidden="1">
      <c r="A84" s="162">
        <v>1</v>
      </c>
      <c r="B84" s="49"/>
      <c r="C84" s="162"/>
      <c r="D84" s="17">
        <v>434</v>
      </c>
      <c r="E84" s="17" t="s">
        <v>345</v>
      </c>
      <c r="F84" s="89">
        <f>(F77+F78+F79+F80+F82+F83+F81)*0.07*0.95</f>
        <v>157.68055118200002</v>
      </c>
      <c r="G84" s="162"/>
      <c r="H84" s="17">
        <v>434</v>
      </c>
      <c r="I84" s="17" t="s">
        <v>345</v>
      </c>
      <c r="J84" s="89">
        <f>(J77+J78+J79+J80+J82+J83+J81)*0.07*0.95</f>
        <v>179.04450107460002</v>
      </c>
      <c r="L84" s="17">
        <v>434</v>
      </c>
      <c r="M84" s="17" t="s">
        <v>345</v>
      </c>
      <c r="N84" s="89">
        <f>(N77+N78+N79+N80+N82+N83+N81)*0.07*0.95</f>
        <v>190.69833203820002</v>
      </c>
    </row>
    <row r="85" spans="1:14" ht="12.75" hidden="1">
      <c r="A85" s="162"/>
      <c r="B85" s="49"/>
      <c r="C85" s="162"/>
      <c r="D85" s="17"/>
      <c r="E85" s="91"/>
      <c r="F85" s="171"/>
      <c r="G85" s="162"/>
      <c r="H85" s="17"/>
      <c r="I85" s="91"/>
      <c r="J85" s="171"/>
      <c r="L85" s="17"/>
      <c r="M85" s="91"/>
      <c r="N85" s="171"/>
    </row>
    <row r="86" spans="1:14" ht="13.5" hidden="1" thickBot="1">
      <c r="A86" s="162">
        <v>1</v>
      </c>
      <c r="B86" s="49"/>
      <c r="C86" s="162"/>
      <c r="D86" s="17"/>
      <c r="E86" s="91" t="s">
        <v>361</v>
      </c>
      <c r="F86" s="118">
        <v>0</v>
      </c>
      <c r="G86" s="162"/>
      <c r="H86" s="17"/>
      <c r="I86" s="91" t="s">
        <v>361</v>
      </c>
      <c r="J86" s="118">
        <v>0</v>
      </c>
      <c r="L86" s="17"/>
      <c r="M86" s="91" t="s">
        <v>361</v>
      </c>
      <c r="N86" s="118">
        <v>0</v>
      </c>
    </row>
    <row r="87" spans="1:14" ht="16.5" hidden="1" thickBot="1">
      <c r="A87" s="162">
        <v>1</v>
      </c>
      <c r="B87" s="49"/>
      <c r="C87" s="162"/>
      <c r="D87" s="92"/>
      <c r="E87" s="93" t="s">
        <v>20</v>
      </c>
      <c r="F87" s="94">
        <f>SUM(F77:F86)</f>
        <v>2528.816659182</v>
      </c>
      <c r="G87" s="162"/>
      <c r="H87" s="92"/>
      <c r="I87" s="93" t="s">
        <v>20</v>
      </c>
      <c r="J87" s="94">
        <f>SUM(J77:J86)</f>
        <v>2871.4430134746</v>
      </c>
      <c r="L87" s="92"/>
      <c r="M87" s="93" t="s">
        <v>20</v>
      </c>
      <c r="N87" s="94">
        <f>SUM(N77:N86)</f>
        <v>3058.3424228382005</v>
      </c>
    </row>
    <row r="88" spans="1:14" ht="12.75" hidden="1">
      <c r="A88" s="162">
        <v>1</v>
      </c>
      <c r="B88" s="49"/>
      <c r="C88" s="162"/>
      <c r="D88" s="17">
        <v>703</v>
      </c>
      <c r="E88" s="95" t="s">
        <v>348</v>
      </c>
      <c r="F88" s="96">
        <f>(F87-F86)*0.0025</f>
        <v>6.322041647955</v>
      </c>
      <c r="G88" s="162"/>
      <c r="H88" s="17">
        <v>703</v>
      </c>
      <c r="I88" s="95" t="s">
        <v>348</v>
      </c>
      <c r="J88" s="96">
        <f>(J87-J86)*0.0025</f>
        <v>7.1786075336865</v>
      </c>
      <c r="L88" s="17">
        <v>703</v>
      </c>
      <c r="M88" s="95" t="s">
        <v>348</v>
      </c>
      <c r="N88" s="96">
        <f>(N87-N86)*0.0025</f>
        <v>7.645856057095501</v>
      </c>
    </row>
    <row r="89" spans="1:14" ht="12.75" hidden="1">
      <c r="A89" s="162">
        <v>1</v>
      </c>
      <c r="B89" s="49"/>
      <c r="C89" s="162"/>
      <c r="D89" s="18">
        <v>707</v>
      </c>
      <c r="E89" s="97" t="s">
        <v>22</v>
      </c>
      <c r="F89" s="16">
        <f>(F87-F86)*0.03</f>
        <v>75.86449977545999</v>
      </c>
      <c r="G89" s="162"/>
      <c r="H89" s="18">
        <v>707</v>
      </c>
      <c r="I89" s="97" t="s">
        <v>22</v>
      </c>
      <c r="J89" s="16">
        <f>(J87-J86)*0.03</f>
        <v>86.14329040423799</v>
      </c>
      <c r="L89" s="18">
        <v>707</v>
      </c>
      <c r="M89" s="97" t="s">
        <v>22</v>
      </c>
      <c r="N89" s="16">
        <f>(N87-N86)*0.03</f>
        <v>91.75027268514602</v>
      </c>
    </row>
    <row r="90" spans="1:14" ht="12.75" hidden="1">
      <c r="A90" s="162">
        <v>1</v>
      </c>
      <c r="B90" s="49"/>
      <c r="C90" s="162"/>
      <c r="D90" s="18">
        <v>709</v>
      </c>
      <c r="E90" s="97" t="s">
        <v>23</v>
      </c>
      <c r="F90" s="16">
        <f>(F87-F86)*0.0213</f>
        <v>53.863794840576595</v>
      </c>
      <c r="G90" s="162"/>
      <c r="H90" s="18">
        <v>709</v>
      </c>
      <c r="I90" s="97" t="s">
        <v>23</v>
      </c>
      <c r="J90" s="16">
        <f>(J87-J86)*0.0213</f>
        <v>61.16173618700898</v>
      </c>
      <c r="L90" s="18">
        <v>709</v>
      </c>
      <c r="M90" s="97" t="s">
        <v>23</v>
      </c>
      <c r="N90" s="16">
        <f>(N87-N86)*0.0213</f>
        <v>65.14269360645366</v>
      </c>
    </row>
    <row r="91" spans="1:14" ht="12.75" hidden="1">
      <c r="A91" s="162">
        <v>1</v>
      </c>
      <c r="B91" s="49"/>
      <c r="C91" s="162"/>
      <c r="D91" s="15">
        <v>710</v>
      </c>
      <c r="E91" s="97" t="s">
        <v>24</v>
      </c>
      <c r="F91" s="16">
        <f>(F87-F86)*0.00754</f>
        <v>19.067277610232278</v>
      </c>
      <c r="G91" s="162"/>
      <c r="H91" s="15">
        <v>710</v>
      </c>
      <c r="I91" s="97" t="s">
        <v>24</v>
      </c>
      <c r="J91" s="16">
        <f>(J87-J86)*0.00754</f>
        <v>21.650680321598482</v>
      </c>
      <c r="L91" s="15">
        <v>710</v>
      </c>
      <c r="M91" s="97" t="s">
        <v>24</v>
      </c>
      <c r="N91" s="16">
        <f>(N87-N86)*0.00754</f>
        <v>23.059901868200033</v>
      </c>
    </row>
    <row r="92" spans="1:14" ht="12.75" hidden="1">
      <c r="A92" s="162">
        <v>1</v>
      </c>
      <c r="B92" s="49"/>
      <c r="C92" s="162"/>
      <c r="D92" s="15">
        <v>713</v>
      </c>
      <c r="E92" s="97" t="s">
        <v>25</v>
      </c>
      <c r="F92" s="16">
        <f>(F87-F86)*0.007</f>
        <v>17.701716614274</v>
      </c>
      <c r="G92" s="162"/>
      <c r="H92" s="15">
        <v>713</v>
      </c>
      <c r="I92" s="97" t="s">
        <v>25</v>
      </c>
      <c r="J92" s="16">
        <f>(J87-J86)*0.007</f>
        <v>20.1001010943222</v>
      </c>
      <c r="L92" s="15">
        <v>713</v>
      </c>
      <c r="M92" s="97" t="s">
        <v>25</v>
      </c>
      <c r="N92" s="16">
        <f>(N87-N86)*0.007</f>
        <v>21.408396959867403</v>
      </c>
    </row>
    <row r="93" spans="1:14" ht="13.5" hidden="1" thickBot="1">
      <c r="A93" s="162">
        <v>1</v>
      </c>
      <c r="B93" s="49"/>
      <c r="C93" s="162"/>
      <c r="D93" s="15"/>
      <c r="E93" s="98" t="s">
        <v>26</v>
      </c>
      <c r="F93" s="48">
        <v>0</v>
      </c>
      <c r="G93" s="162"/>
      <c r="H93" s="15"/>
      <c r="I93" s="98" t="s">
        <v>26</v>
      </c>
      <c r="J93" s="48">
        <v>0</v>
      </c>
      <c r="L93" s="15"/>
      <c r="M93" s="98" t="s">
        <v>26</v>
      </c>
      <c r="N93" s="48">
        <v>0</v>
      </c>
    </row>
    <row r="94" spans="1:14" ht="16.5" hidden="1" thickBot="1">
      <c r="A94" s="162">
        <v>1</v>
      </c>
      <c r="B94" s="49"/>
      <c r="C94" s="162"/>
      <c r="D94" s="99"/>
      <c r="E94" s="93" t="s">
        <v>27</v>
      </c>
      <c r="F94" s="94">
        <f>SUM(F88:F93)</f>
        <v>172.81933048849788</v>
      </c>
      <c r="G94" s="162"/>
      <c r="H94" s="99"/>
      <c r="I94" s="93" t="s">
        <v>27</v>
      </c>
      <c r="J94" s="94">
        <f>SUM(J88:J93)</f>
        <v>196.23441554085417</v>
      </c>
      <c r="L94" s="99"/>
      <c r="M94" s="93" t="s">
        <v>27</v>
      </c>
      <c r="N94" s="94">
        <f>SUM(N88:N93)</f>
        <v>209.0071211767626</v>
      </c>
    </row>
    <row r="95" spans="1:14" ht="13.5" hidden="1" thickBot="1">
      <c r="A95" s="162">
        <v>1</v>
      </c>
      <c r="B95" s="49"/>
      <c r="C95" s="162"/>
      <c r="D95" s="100"/>
      <c r="E95" s="101"/>
      <c r="F95" s="102"/>
      <c r="G95" s="162"/>
      <c r="H95" s="100"/>
      <c r="I95" s="101"/>
      <c r="J95" s="102"/>
      <c r="L95" s="100"/>
      <c r="M95" s="101"/>
      <c r="N95" s="102"/>
    </row>
    <row r="96" spans="1:14" ht="16.5" hidden="1" thickBot="1">
      <c r="A96" s="162">
        <v>1</v>
      </c>
      <c r="B96" s="106"/>
      <c r="C96" s="162"/>
      <c r="D96" s="103"/>
      <c r="E96" s="104" t="s">
        <v>28</v>
      </c>
      <c r="F96" s="105">
        <f>F87-F94</f>
        <v>2355.997328693502</v>
      </c>
      <c r="G96" s="162"/>
      <c r="H96" s="103"/>
      <c r="I96" s="104" t="s">
        <v>28</v>
      </c>
      <c r="J96" s="105">
        <f>J87-J94</f>
        <v>2675.2085979337458</v>
      </c>
      <c r="L96" s="103"/>
      <c r="M96" s="104" t="s">
        <v>28</v>
      </c>
      <c r="N96" s="105">
        <f>N87-N94</f>
        <v>2849.335301661438</v>
      </c>
    </row>
    <row r="97" spans="1:7" ht="12.75" hidden="1">
      <c r="A97" s="162"/>
      <c r="B97" s="106"/>
      <c r="C97" s="162"/>
      <c r="G97" s="162"/>
    </row>
    <row r="98" spans="1:7" ht="12.75" hidden="1">
      <c r="A98" s="162">
        <v>1</v>
      </c>
      <c r="B98" s="106"/>
      <c r="C98" s="174"/>
      <c r="G98" s="162"/>
    </row>
    <row r="99" spans="1:17" ht="15.75">
      <c r="A99" s="162">
        <v>1</v>
      </c>
      <c r="B99" s="106"/>
      <c r="C99" s="174"/>
      <c r="D99" s="175"/>
      <c r="E99" s="176"/>
      <c r="F99" s="106"/>
      <c r="G99" s="174"/>
      <c r="H99" s="177"/>
      <c r="I99" s="178"/>
      <c r="J99" s="178"/>
      <c r="K99" s="178"/>
      <c r="L99" s="178"/>
      <c r="M99" s="106"/>
      <c r="N99" s="271"/>
      <c r="O99" s="49"/>
      <c r="P99" s="10"/>
      <c r="Q99" s="10"/>
    </row>
    <row r="100" ht="21.75" customHeight="1" hidden="1"/>
    <row r="101" spans="3:16" s="260" customFormat="1" ht="15.75" hidden="1">
      <c r="C101" s="256"/>
      <c r="F101" s="164"/>
      <c r="G101" s="135"/>
      <c r="H101" s="75"/>
      <c r="I101" s="75"/>
      <c r="J101" s="164"/>
      <c r="K101" s="11"/>
      <c r="L101" s="135"/>
      <c r="M101" s="135"/>
      <c r="N101" s="135"/>
      <c r="O101" s="135"/>
      <c r="P101" s="135"/>
    </row>
    <row r="102" spans="1:20" ht="16.5" hidden="1" thickBot="1">
      <c r="A102">
        <v>2</v>
      </c>
      <c r="F102" t="s">
        <v>395</v>
      </c>
      <c r="G102" s="10" t="s">
        <v>397</v>
      </c>
      <c r="H102" s="10" t="s">
        <v>398</v>
      </c>
      <c r="I102" s="133" t="s">
        <v>399</v>
      </c>
      <c r="J102" s="133" t="s">
        <v>400</v>
      </c>
      <c r="K102" s="133" t="s">
        <v>401</v>
      </c>
      <c r="L102" s="133" t="s">
        <v>402</v>
      </c>
      <c r="M102" s="133" t="s">
        <v>403</v>
      </c>
      <c r="N102" s="133" t="s">
        <v>404</v>
      </c>
      <c r="O102" s="148" t="s">
        <v>405</v>
      </c>
      <c r="P102" s="148">
        <v>1</v>
      </c>
      <c r="Q102" s="148">
        <v>2</v>
      </c>
      <c r="R102" s="148">
        <v>3</v>
      </c>
      <c r="S102" s="148">
        <v>4</v>
      </c>
      <c r="T102" s="148">
        <v>5</v>
      </c>
    </row>
    <row r="103" spans="1:20" ht="16.5" hidden="1" thickBot="1">
      <c r="A103">
        <v>2</v>
      </c>
      <c r="E103" s="123">
        <v>0</v>
      </c>
      <c r="F103" s="420">
        <f aca="true" t="shared" si="21" ref="F103:F114">IF(puntosproljorvarios2&lt;620,T103,O103)</f>
        <v>233</v>
      </c>
      <c r="G103" s="405">
        <v>233</v>
      </c>
      <c r="H103" s="223">
        <v>80</v>
      </c>
      <c r="I103" s="149">
        <v>0</v>
      </c>
      <c r="J103" s="150">
        <v>0</v>
      </c>
      <c r="K103" s="151">
        <v>0</v>
      </c>
      <c r="L103" s="224">
        <v>0</v>
      </c>
      <c r="M103" s="225">
        <v>80</v>
      </c>
      <c r="N103" s="226">
        <v>80</v>
      </c>
      <c r="O103" s="152">
        <f aca="true" t="shared" si="22" ref="O103:O114">IF(punbasjubvarios2&gt;971,N103,M103)</f>
        <v>80</v>
      </c>
      <c r="P103" s="152">
        <f>IF(punbasjubvarios2&lt;972,G103,H103)</f>
        <v>233</v>
      </c>
      <c r="Q103" s="152">
        <f aca="true" t="shared" si="23" ref="Q103:Q114">IF(punbasjubvarios1&lt;1170,P103,I103)</f>
        <v>233</v>
      </c>
      <c r="R103" s="152">
        <f aca="true" t="shared" si="24" ref="R103:R114">IF(punbasjubvarios2&lt;1401,Q103,J103)</f>
        <v>233</v>
      </c>
      <c r="S103" s="152">
        <f aca="true" t="shared" si="25" ref="S103:S114">IF(punbasjubvarios2&lt;1943,R103,K103)</f>
        <v>233</v>
      </c>
      <c r="T103" s="152">
        <f aca="true" t="shared" si="26" ref="T103:T114">IF(punbasjubvarios2&lt;=2220,S103,L103)</f>
        <v>233</v>
      </c>
    </row>
    <row r="104" spans="1:20" ht="16.5" hidden="1" thickBot="1">
      <c r="A104">
        <v>2</v>
      </c>
      <c r="E104" s="124">
        <v>0.1</v>
      </c>
      <c r="F104" s="420">
        <f t="shared" si="21"/>
        <v>250</v>
      </c>
      <c r="G104" s="406">
        <v>250</v>
      </c>
      <c r="H104" s="228">
        <v>90</v>
      </c>
      <c r="I104" s="149">
        <v>0</v>
      </c>
      <c r="J104" s="150">
        <v>0</v>
      </c>
      <c r="K104" s="151">
        <v>0</v>
      </c>
      <c r="L104" s="224">
        <v>0</v>
      </c>
      <c r="M104" s="225">
        <v>90</v>
      </c>
      <c r="N104" s="226">
        <v>90</v>
      </c>
      <c r="O104" s="152">
        <f t="shared" si="22"/>
        <v>90</v>
      </c>
      <c r="P104" s="152">
        <f aca="true" t="shared" si="27" ref="P104:P114">IF(punbasjubvarios1&lt;972,G104,H104)</f>
        <v>250</v>
      </c>
      <c r="Q104" s="152">
        <f t="shared" si="23"/>
        <v>250</v>
      </c>
      <c r="R104" s="152">
        <f t="shared" si="24"/>
        <v>250</v>
      </c>
      <c r="S104" s="152">
        <f t="shared" si="25"/>
        <v>250</v>
      </c>
      <c r="T104" s="152">
        <f t="shared" si="26"/>
        <v>250</v>
      </c>
    </row>
    <row r="105" spans="1:20" ht="16.5" hidden="1" thickBot="1">
      <c r="A105">
        <v>2</v>
      </c>
      <c r="E105" s="125">
        <v>0.15</v>
      </c>
      <c r="F105" s="420">
        <f t="shared" si="21"/>
        <v>350</v>
      </c>
      <c r="G105" s="406">
        <v>350</v>
      </c>
      <c r="H105" s="228">
        <v>180</v>
      </c>
      <c r="I105" s="153">
        <v>240</v>
      </c>
      <c r="J105" s="154">
        <v>193</v>
      </c>
      <c r="K105" s="155">
        <v>180</v>
      </c>
      <c r="L105" s="224">
        <v>0</v>
      </c>
      <c r="M105" s="225">
        <v>220</v>
      </c>
      <c r="N105" s="226">
        <v>220</v>
      </c>
      <c r="O105" s="152">
        <f t="shared" si="22"/>
        <v>220</v>
      </c>
      <c r="P105" s="152">
        <f t="shared" si="27"/>
        <v>350</v>
      </c>
      <c r="Q105" s="152">
        <f t="shared" si="23"/>
        <v>350</v>
      </c>
      <c r="R105" s="152">
        <f t="shared" si="24"/>
        <v>350</v>
      </c>
      <c r="S105" s="152">
        <f t="shared" si="25"/>
        <v>350</v>
      </c>
      <c r="T105" s="152">
        <f t="shared" si="26"/>
        <v>350</v>
      </c>
    </row>
    <row r="106" spans="1:20" ht="16.5" hidden="1" thickBot="1">
      <c r="A106">
        <v>2</v>
      </c>
      <c r="E106" s="125">
        <v>0.3</v>
      </c>
      <c r="F106" s="420">
        <f t="shared" si="21"/>
        <v>405</v>
      </c>
      <c r="G106" s="406">
        <v>405</v>
      </c>
      <c r="H106" s="228">
        <v>195</v>
      </c>
      <c r="I106" s="153">
        <v>240</v>
      </c>
      <c r="J106" s="154">
        <v>193</v>
      </c>
      <c r="K106" s="155">
        <v>180</v>
      </c>
      <c r="L106" s="224">
        <v>0</v>
      </c>
      <c r="M106" s="225">
        <v>380</v>
      </c>
      <c r="N106" s="226">
        <v>350</v>
      </c>
      <c r="O106" s="152">
        <f t="shared" si="22"/>
        <v>380</v>
      </c>
      <c r="P106" s="152">
        <f t="shared" si="27"/>
        <v>405</v>
      </c>
      <c r="Q106" s="152">
        <f t="shared" si="23"/>
        <v>405</v>
      </c>
      <c r="R106" s="152">
        <f t="shared" si="24"/>
        <v>405</v>
      </c>
      <c r="S106" s="152">
        <f t="shared" si="25"/>
        <v>405</v>
      </c>
      <c r="T106" s="152">
        <f t="shared" si="26"/>
        <v>405</v>
      </c>
    </row>
    <row r="107" spans="1:20" ht="16.5" hidden="1" thickBot="1">
      <c r="A107">
        <v>2</v>
      </c>
      <c r="E107" s="125">
        <v>0.4</v>
      </c>
      <c r="F107" s="420">
        <f t="shared" si="21"/>
        <v>440</v>
      </c>
      <c r="G107" s="406">
        <v>440</v>
      </c>
      <c r="H107" s="228">
        <v>210</v>
      </c>
      <c r="I107" s="153">
        <v>250</v>
      </c>
      <c r="J107" s="154">
        <v>200</v>
      </c>
      <c r="K107" s="155">
        <v>180</v>
      </c>
      <c r="L107" s="224">
        <v>140</v>
      </c>
      <c r="M107" s="225">
        <v>440</v>
      </c>
      <c r="N107" s="226">
        <v>400</v>
      </c>
      <c r="O107" s="152">
        <f t="shared" si="22"/>
        <v>440</v>
      </c>
      <c r="P107" s="152">
        <f t="shared" si="27"/>
        <v>440</v>
      </c>
      <c r="Q107" s="152">
        <f t="shared" si="23"/>
        <v>440</v>
      </c>
      <c r="R107" s="152">
        <f t="shared" si="24"/>
        <v>440</v>
      </c>
      <c r="S107" s="152">
        <f t="shared" si="25"/>
        <v>440</v>
      </c>
      <c r="T107" s="152">
        <f t="shared" si="26"/>
        <v>440</v>
      </c>
    </row>
    <row r="108" spans="1:20" ht="16.5" hidden="1" thickBot="1">
      <c r="A108">
        <v>2</v>
      </c>
      <c r="E108" s="125">
        <v>0.5</v>
      </c>
      <c r="F108" s="420">
        <f t="shared" si="21"/>
        <v>455</v>
      </c>
      <c r="G108" s="406">
        <v>455</v>
      </c>
      <c r="H108" s="228">
        <v>230</v>
      </c>
      <c r="I108" s="153">
        <v>250</v>
      </c>
      <c r="J108" s="137">
        <v>200</v>
      </c>
      <c r="K108" s="155">
        <v>180</v>
      </c>
      <c r="L108" s="224">
        <v>140</v>
      </c>
      <c r="M108" s="225">
        <v>475</v>
      </c>
      <c r="N108" s="226">
        <v>435</v>
      </c>
      <c r="O108" s="152">
        <f t="shared" si="22"/>
        <v>475</v>
      </c>
      <c r="P108" s="152">
        <f t="shared" si="27"/>
        <v>455</v>
      </c>
      <c r="Q108" s="152">
        <f t="shared" si="23"/>
        <v>455</v>
      </c>
      <c r="R108" s="152">
        <f t="shared" si="24"/>
        <v>455</v>
      </c>
      <c r="S108" s="152">
        <f t="shared" si="25"/>
        <v>455</v>
      </c>
      <c r="T108" s="152">
        <f t="shared" si="26"/>
        <v>455</v>
      </c>
    </row>
    <row r="109" spans="1:20" ht="16.5" hidden="1" thickBot="1">
      <c r="A109">
        <v>2</v>
      </c>
      <c r="E109" s="125">
        <v>0.6</v>
      </c>
      <c r="F109" s="420">
        <f t="shared" si="21"/>
        <v>465</v>
      </c>
      <c r="G109" s="406">
        <v>465</v>
      </c>
      <c r="H109" s="228">
        <v>260</v>
      </c>
      <c r="I109" s="153">
        <v>260</v>
      </c>
      <c r="J109" s="137">
        <v>203</v>
      </c>
      <c r="K109" s="155">
        <v>190</v>
      </c>
      <c r="L109" s="224">
        <v>160</v>
      </c>
      <c r="M109" s="225">
        <v>510</v>
      </c>
      <c r="N109" s="226">
        <v>450</v>
      </c>
      <c r="O109" s="152">
        <f t="shared" si="22"/>
        <v>510</v>
      </c>
      <c r="P109" s="152">
        <f t="shared" si="27"/>
        <v>465</v>
      </c>
      <c r="Q109" s="152">
        <f t="shared" si="23"/>
        <v>465</v>
      </c>
      <c r="R109" s="152">
        <f t="shared" si="24"/>
        <v>465</v>
      </c>
      <c r="S109" s="152">
        <f t="shared" si="25"/>
        <v>465</v>
      </c>
      <c r="T109" s="152">
        <f t="shared" si="26"/>
        <v>465</v>
      </c>
    </row>
    <row r="110" spans="1:20" ht="16.5" hidden="1" thickBot="1">
      <c r="A110">
        <v>2</v>
      </c>
      <c r="E110" s="125">
        <v>0.7</v>
      </c>
      <c r="F110" s="420">
        <f t="shared" si="21"/>
        <v>445</v>
      </c>
      <c r="G110" s="406">
        <v>445</v>
      </c>
      <c r="H110" s="228">
        <v>285</v>
      </c>
      <c r="I110" s="153">
        <v>365</v>
      </c>
      <c r="J110" s="137">
        <v>230</v>
      </c>
      <c r="K110" s="155">
        <v>190</v>
      </c>
      <c r="L110" s="224">
        <v>160</v>
      </c>
      <c r="M110" s="225">
        <v>525</v>
      </c>
      <c r="N110" s="226">
        <v>465</v>
      </c>
      <c r="O110" s="152">
        <f t="shared" si="22"/>
        <v>525</v>
      </c>
      <c r="P110" s="152">
        <f t="shared" si="27"/>
        <v>445</v>
      </c>
      <c r="Q110" s="152">
        <f t="shared" si="23"/>
        <v>445</v>
      </c>
      <c r="R110" s="152">
        <f t="shared" si="24"/>
        <v>445</v>
      </c>
      <c r="S110" s="152">
        <f t="shared" si="25"/>
        <v>445</v>
      </c>
      <c r="T110" s="152">
        <f t="shared" si="26"/>
        <v>445</v>
      </c>
    </row>
    <row r="111" spans="1:20" ht="16.5" hidden="1" thickBot="1">
      <c r="A111">
        <v>2</v>
      </c>
      <c r="E111" s="125">
        <v>0.8</v>
      </c>
      <c r="F111" s="420">
        <f t="shared" si="21"/>
        <v>535</v>
      </c>
      <c r="G111" s="406">
        <v>535</v>
      </c>
      <c r="H111" s="228">
        <v>345</v>
      </c>
      <c r="I111" s="136">
        <v>395</v>
      </c>
      <c r="J111" s="137">
        <v>340</v>
      </c>
      <c r="K111" s="156">
        <v>280</v>
      </c>
      <c r="L111" s="230">
        <v>180</v>
      </c>
      <c r="M111" s="225">
        <v>555</v>
      </c>
      <c r="N111" s="226">
        <v>475</v>
      </c>
      <c r="O111" s="152">
        <f t="shared" si="22"/>
        <v>555</v>
      </c>
      <c r="P111" s="152">
        <f t="shared" si="27"/>
        <v>535</v>
      </c>
      <c r="Q111" s="152">
        <f t="shared" si="23"/>
        <v>535</v>
      </c>
      <c r="R111" s="152">
        <f t="shared" si="24"/>
        <v>535</v>
      </c>
      <c r="S111" s="152">
        <f t="shared" si="25"/>
        <v>535</v>
      </c>
      <c r="T111" s="152">
        <f t="shared" si="26"/>
        <v>535</v>
      </c>
    </row>
    <row r="112" spans="1:20" ht="16.5" hidden="1" thickBot="1">
      <c r="A112">
        <v>2</v>
      </c>
      <c r="E112" s="125">
        <v>1</v>
      </c>
      <c r="F112" s="420">
        <f t="shared" si="21"/>
        <v>665</v>
      </c>
      <c r="G112" s="406">
        <v>665</v>
      </c>
      <c r="H112" s="228">
        <v>435</v>
      </c>
      <c r="I112" s="136">
        <v>410</v>
      </c>
      <c r="J112" s="137">
        <v>330</v>
      </c>
      <c r="K112" s="156">
        <v>310</v>
      </c>
      <c r="L112" s="230">
        <v>180</v>
      </c>
      <c r="M112" s="225">
        <v>590</v>
      </c>
      <c r="N112" s="226">
        <v>490</v>
      </c>
      <c r="O112" s="152">
        <f t="shared" si="22"/>
        <v>590</v>
      </c>
      <c r="P112" s="152">
        <f t="shared" si="27"/>
        <v>665</v>
      </c>
      <c r="Q112" s="152">
        <f t="shared" si="23"/>
        <v>665</v>
      </c>
      <c r="R112" s="152">
        <f t="shared" si="24"/>
        <v>665</v>
      </c>
      <c r="S112" s="152">
        <f t="shared" si="25"/>
        <v>665</v>
      </c>
      <c r="T112" s="152">
        <f t="shared" si="26"/>
        <v>665</v>
      </c>
    </row>
    <row r="113" spans="1:20" ht="16.5" hidden="1" thickBot="1">
      <c r="A113">
        <v>2</v>
      </c>
      <c r="E113" s="125">
        <v>1.1</v>
      </c>
      <c r="F113" s="420">
        <f t="shared" si="21"/>
        <v>745</v>
      </c>
      <c r="G113" s="406">
        <v>745</v>
      </c>
      <c r="H113" s="228">
        <v>495</v>
      </c>
      <c r="I113" s="136">
        <v>430</v>
      </c>
      <c r="J113" s="137">
        <v>330</v>
      </c>
      <c r="K113" s="156">
        <v>320</v>
      </c>
      <c r="L113" s="230">
        <v>190</v>
      </c>
      <c r="M113" s="225">
        <v>615</v>
      </c>
      <c r="N113" s="226">
        <v>505</v>
      </c>
      <c r="O113" s="152">
        <f t="shared" si="22"/>
        <v>615</v>
      </c>
      <c r="P113" s="152">
        <f t="shared" si="27"/>
        <v>745</v>
      </c>
      <c r="Q113" s="152">
        <f t="shared" si="23"/>
        <v>745</v>
      </c>
      <c r="R113" s="152">
        <f t="shared" si="24"/>
        <v>745</v>
      </c>
      <c r="S113" s="152">
        <f t="shared" si="25"/>
        <v>745</v>
      </c>
      <c r="T113" s="152">
        <f t="shared" si="26"/>
        <v>745</v>
      </c>
    </row>
    <row r="114" spans="1:20" ht="16.5" hidden="1" thickBot="1">
      <c r="A114">
        <v>2</v>
      </c>
      <c r="E114" s="126">
        <v>1.2</v>
      </c>
      <c r="F114" s="420">
        <f t="shared" si="21"/>
        <v>770</v>
      </c>
      <c r="G114" s="406">
        <v>770</v>
      </c>
      <c r="H114" s="228">
        <v>510</v>
      </c>
      <c r="I114" s="136">
        <v>480</v>
      </c>
      <c r="J114" s="137">
        <v>335</v>
      </c>
      <c r="K114" s="156">
        <v>330</v>
      </c>
      <c r="L114" s="230">
        <v>190</v>
      </c>
      <c r="M114" s="225">
        <v>620</v>
      </c>
      <c r="N114" s="226">
        <v>510</v>
      </c>
      <c r="O114" s="152">
        <f t="shared" si="22"/>
        <v>620</v>
      </c>
      <c r="P114" s="152">
        <f t="shared" si="27"/>
        <v>770</v>
      </c>
      <c r="Q114" s="152">
        <f t="shared" si="23"/>
        <v>770</v>
      </c>
      <c r="R114" s="152">
        <f t="shared" si="24"/>
        <v>770</v>
      </c>
      <c r="S114" s="152">
        <f t="shared" si="25"/>
        <v>770</v>
      </c>
      <c r="T114" s="152">
        <f t="shared" si="26"/>
        <v>770</v>
      </c>
    </row>
    <row r="115" spans="1:20" s="255" customFormat="1" ht="15.75" hidden="1">
      <c r="A115">
        <v>2</v>
      </c>
      <c r="E115" s="256"/>
      <c r="F115" s="164"/>
      <c r="G115" s="164"/>
      <c r="H115" s="257"/>
      <c r="I115" s="258"/>
      <c r="J115" s="258"/>
      <c r="K115" s="164"/>
      <c r="L115" s="11"/>
      <c r="M115" s="135"/>
      <c r="N115" s="135"/>
      <c r="O115" s="135"/>
      <c r="P115" s="135"/>
      <c r="Q115" s="135"/>
      <c r="R115" s="135"/>
      <c r="S115" s="135"/>
      <c r="T115" s="135"/>
    </row>
    <row r="116" spans="1:20" s="255" customFormat="1" ht="15.75" hidden="1">
      <c r="A116">
        <v>2</v>
      </c>
      <c r="E116" s="256"/>
      <c r="F116" s="164" t="s">
        <v>425</v>
      </c>
      <c r="G116" s="164">
        <f>LOOKUP(F164,porantvar2,cod06cargosvar2)</f>
        <v>770</v>
      </c>
      <c r="H116" s="257"/>
      <c r="I116" s="258"/>
      <c r="J116" s="258"/>
      <c r="K116" s="164"/>
      <c r="L116" s="11"/>
      <c r="M116" s="135"/>
      <c r="N116" s="135"/>
      <c r="O116" s="135"/>
      <c r="P116" s="135"/>
      <c r="Q116" s="135"/>
      <c r="R116" s="135"/>
      <c r="S116" s="135"/>
      <c r="T116" s="135"/>
    </row>
    <row r="117" spans="1:20" s="255" customFormat="1" ht="15.75" hidden="1">
      <c r="A117"/>
      <c r="E117" s="256"/>
      <c r="F117" s="164"/>
      <c r="G117" s="164"/>
      <c r="H117" s="257"/>
      <c r="I117" s="258"/>
      <c r="J117" s="258"/>
      <c r="K117" s="164"/>
      <c r="L117" s="11"/>
      <c r="M117" s="135"/>
      <c r="N117" s="135"/>
      <c r="O117" s="135"/>
      <c r="P117" s="135"/>
      <c r="Q117" s="135"/>
      <c r="R117" s="135"/>
      <c r="S117" s="135"/>
      <c r="T117" s="135"/>
    </row>
    <row r="118" spans="1:20" ht="16.5" hidden="1" thickBot="1">
      <c r="A118">
        <v>2</v>
      </c>
      <c r="F118" t="s">
        <v>395</v>
      </c>
      <c r="G118" s="10" t="s">
        <v>397</v>
      </c>
      <c r="H118" s="10" t="s">
        <v>398</v>
      </c>
      <c r="I118" s="133" t="s">
        <v>399</v>
      </c>
      <c r="J118" s="133" t="s">
        <v>400</v>
      </c>
      <c r="K118" s="133" t="s">
        <v>401</v>
      </c>
      <c r="L118" s="133" t="s">
        <v>402</v>
      </c>
      <c r="M118" s="133" t="s">
        <v>403</v>
      </c>
      <c r="N118" s="133" t="s">
        <v>404</v>
      </c>
      <c r="O118" s="148" t="s">
        <v>405</v>
      </c>
      <c r="P118" s="148">
        <v>1</v>
      </c>
      <c r="Q118" s="148">
        <v>2</v>
      </c>
      <c r="R118" s="148">
        <v>3</v>
      </c>
      <c r="S118" s="148">
        <v>4</v>
      </c>
      <c r="T118" s="148">
        <v>5</v>
      </c>
    </row>
    <row r="119" spans="1:20" ht="15.75" hidden="1">
      <c r="A119">
        <v>2</v>
      </c>
      <c r="E119" s="123">
        <v>0</v>
      </c>
      <c r="F119" s="420">
        <f aca="true" t="shared" si="28" ref="F119:F130">IF(puntosproljorvarios2&lt;620,T119,O119)</f>
        <v>268</v>
      </c>
      <c r="G119" s="414">
        <v>268</v>
      </c>
      <c r="H119" s="414">
        <v>92</v>
      </c>
      <c r="I119" s="414">
        <v>0</v>
      </c>
      <c r="J119" s="414">
        <v>0</v>
      </c>
      <c r="K119" s="414">
        <v>0</v>
      </c>
      <c r="L119" s="414">
        <v>0</v>
      </c>
      <c r="M119" s="414">
        <v>92</v>
      </c>
      <c r="N119" s="414">
        <v>92</v>
      </c>
      <c r="O119" s="152">
        <f aca="true" t="shared" si="29" ref="O119:O130">IF(punbasjubvarios2&gt;971,N119,M119)</f>
        <v>92</v>
      </c>
      <c r="P119" s="152">
        <f>IF(punbasjubvarios2&lt;972,G119,H119)</f>
        <v>268</v>
      </c>
      <c r="Q119" s="152">
        <f aca="true" t="shared" si="30" ref="Q119:Q130">IF(punbasjubvarios1&lt;1170,P119,I119)</f>
        <v>268</v>
      </c>
      <c r="R119" s="152">
        <f aca="true" t="shared" si="31" ref="R119:R130">IF(punbasjubvarios2&lt;1401,Q119,J119)</f>
        <v>268</v>
      </c>
      <c r="S119" s="152">
        <f aca="true" t="shared" si="32" ref="S119:S130">IF(punbasjubvarios2&lt;1943,R119,K119)</f>
        <v>268</v>
      </c>
      <c r="T119" s="152">
        <f aca="true" t="shared" si="33" ref="T119:T130">IF(punbasjubvarios2&lt;=2220,S119,L119)</f>
        <v>268</v>
      </c>
    </row>
    <row r="120" spans="1:20" ht="15.75" hidden="1">
      <c r="A120">
        <v>2</v>
      </c>
      <c r="E120" s="124">
        <v>0.1</v>
      </c>
      <c r="F120" s="420">
        <f t="shared" si="28"/>
        <v>288</v>
      </c>
      <c r="G120" s="414">
        <v>288</v>
      </c>
      <c r="H120" s="414">
        <v>104</v>
      </c>
      <c r="I120" s="414">
        <v>0</v>
      </c>
      <c r="J120" s="414">
        <v>0</v>
      </c>
      <c r="K120" s="414">
        <v>0</v>
      </c>
      <c r="L120" s="414">
        <v>0</v>
      </c>
      <c r="M120" s="414">
        <v>104</v>
      </c>
      <c r="N120" s="414">
        <v>104</v>
      </c>
      <c r="O120" s="152">
        <f t="shared" si="29"/>
        <v>104</v>
      </c>
      <c r="P120" s="152">
        <f aca="true" t="shared" si="34" ref="P120:P130">IF(punbasjubvarios1&lt;972,G120,H120)</f>
        <v>288</v>
      </c>
      <c r="Q120" s="152">
        <f t="shared" si="30"/>
        <v>288</v>
      </c>
      <c r="R120" s="152">
        <f t="shared" si="31"/>
        <v>288</v>
      </c>
      <c r="S120" s="152">
        <f t="shared" si="32"/>
        <v>288</v>
      </c>
      <c r="T120" s="152">
        <f t="shared" si="33"/>
        <v>288</v>
      </c>
    </row>
    <row r="121" spans="1:20" ht="15.75" hidden="1">
      <c r="A121">
        <v>2</v>
      </c>
      <c r="E121" s="125">
        <v>0.15</v>
      </c>
      <c r="F121" s="420">
        <f t="shared" si="28"/>
        <v>403</v>
      </c>
      <c r="G121" s="414">
        <v>403</v>
      </c>
      <c r="H121" s="414">
        <v>207</v>
      </c>
      <c r="I121" s="414">
        <v>276</v>
      </c>
      <c r="J121" s="414">
        <v>222</v>
      </c>
      <c r="K121" s="414">
        <v>207</v>
      </c>
      <c r="L121" s="414">
        <v>0</v>
      </c>
      <c r="M121" s="414">
        <v>253</v>
      </c>
      <c r="N121" s="414">
        <v>253</v>
      </c>
      <c r="O121" s="152">
        <f t="shared" si="29"/>
        <v>253</v>
      </c>
      <c r="P121" s="152">
        <f t="shared" si="34"/>
        <v>403</v>
      </c>
      <c r="Q121" s="152">
        <f t="shared" si="30"/>
        <v>403</v>
      </c>
      <c r="R121" s="152">
        <f t="shared" si="31"/>
        <v>403</v>
      </c>
      <c r="S121" s="152">
        <f t="shared" si="32"/>
        <v>403</v>
      </c>
      <c r="T121" s="152">
        <f t="shared" si="33"/>
        <v>403</v>
      </c>
    </row>
    <row r="122" spans="1:20" ht="15.75" hidden="1">
      <c r="A122">
        <v>2</v>
      </c>
      <c r="E122" s="125">
        <v>0.3</v>
      </c>
      <c r="F122" s="420">
        <f t="shared" si="28"/>
        <v>466</v>
      </c>
      <c r="G122" s="414">
        <v>466</v>
      </c>
      <c r="H122" s="414">
        <v>224</v>
      </c>
      <c r="I122" s="414">
        <v>276</v>
      </c>
      <c r="J122" s="414">
        <v>222</v>
      </c>
      <c r="K122" s="414">
        <v>207</v>
      </c>
      <c r="L122" s="414">
        <v>0</v>
      </c>
      <c r="M122" s="414">
        <v>437</v>
      </c>
      <c r="N122" s="414">
        <v>403</v>
      </c>
      <c r="O122" s="152">
        <f t="shared" si="29"/>
        <v>437</v>
      </c>
      <c r="P122" s="152">
        <f t="shared" si="34"/>
        <v>466</v>
      </c>
      <c r="Q122" s="152">
        <f t="shared" si="30"/>
        <v>466</v>
      </c>
      <c r="R122" s="152">
        <f t="shared" si="31"/>
        <v>466</v>
      </c>
      <c r="S122" s="152">
        <f t="shared" si="32"/>
        <v>466</v>
      </c>
      <c r="T122" s="152">
        <f t="shared" si="33"/>
        <v>466</v>
      </c>
    </row>
    <row r="123" spans="1:20" ht="15.75" hidden="1">
      <c r="A123">
        <v>2</v>
      </c>
      <c r="E123" s="125">
        <v>0.4</v>
      </c>
      <c r="F123" s="420">
        <f t="shared" si="28"/>
        <v>506</v>
      </c>
      <c r="G123" s="414">
        <v>506</v>
      </c>
      <c r="H123" s="414">
        <v>242</v>
      </c>
      <c r="I123" s="414">
        <v>288</v>
      </c>
      <c r="J123" s="414">
        <v>230</v>
      </c>
      <c r="K123" s="414">
        <v>207</v>
      </c>
      <c r="L123" s="414">
        <v>161</v>
      </c>
      <c r="M123" s="414">
        <v>506</v>
      </c>
      <c r="N123" s="414">
        <v>460</v>
      </c>
      <c r="O123" s="152">
        <f t="shared" si="29"/>
        <v>506</v>
      </c>
      <c r="P123" s="152">
        <f t="shared" si="34"/>
        <v>506</v>
      </c>
      <c r="Q123" s="152">
        <f t="shared" si="30"/>
        <v>506</v>
      </c>
      <c r="R123" s="152">
        <f t="shared" si="31"/>
        <v>506</v>
      </c>
      <c r="S123" s="152">
        <f t="shared" si="32"/>
        <v>506</v>
      </c>
      <c r="T123" s="152">
        <f t="shared" si="33"/>
        <v>506</v>
      </c>
    </row>
    <row r="124" spans="1:20" ht="15.75" hidden="1">
      <c r="A124">
        <v>2</v>
      </c>
      <c r="E124" s="125">
        <v>0.5</v>
      </c>
      <c r="F124" s="420">
        <f t="shared" si="28"/>
        <v>523</v>
      </c>
      <c r="G124" s="414">
        <v>523</v>
      </c>
      <c r="H124" s="414">
        <v>265</v>
      </c>
      <c r="I124" s="414">
        <v>288</v>
      </c>
      <c r="J124" s="414">
        <v>230</v>
      </c>
      <c r="K124" s="414">
        <v>207</v>
      </c>
      <c r="L124" s="414">
        <v>161</v>
      </c>
      <c r="M124" s="414">
        <v>546</v>
      </c>
      <c r="N124" s="414">
        <v>500</v>
      </c>
      <c r="O124" s="152">
        <f t="shared" si="29"/>
        <v>546</v>
      </c>
      <c r="P124" s="152">
        <f t="shared" si="34"/>
        <v>523</v>
      </c>
      <c r="Q124" s="152">
        <f t="shared" si="30"/>
        <v>523</v>
      </c>
      <c r="R124" s="152">
        <f t="shared" si="31"/>
        <v>523</v>
      </c>
      <c r="S124" s="152">
        <f t="shared" si="32"/>
        <v>523</v>
      </c>
      <c r="T124" s="152">
        <f t="shared" si="33"/>
        <v>523</v>
      </c>
    </row>
    <row r="125" spans="1:20" ht="15.75" hidden="1">
      <c r="A125">
        <v>2</v>
      </c>
      <c r="E125" s="125">
        <v>0.6</v>
      </c>
      <c r="F125" s="420">
        <f t="shared" si="28"/>
        <v>535</v>
      </c>
      <c r="G125" s="414">
        <v>535</v>
      </c>
      <c r="H125" s="414">
        <v>299</v>
      </c>
      <c r="I125" s="414">
        <v>299</v>
      </c>
      <c r="J125" s="414">
        <v>233</v>
      </c>
      <c r="K125" s="414">
        <v>219</v>
      </c>
      <c r="L125" s="414">
        <v>184</v>
      </c>
      <c r="M125" s="414">
        <v>587</v>
      </c>
      <c r="N125" s="414">
        <v>518</v>
      </c>
      <c r="O125" s="152">
        <f t="shared" si="29"/>
        <v>587</v>
      </c>
      <c r="P125" s="152">
        <f t="shared" si="34"/>
        <v>535</v>
      </c>
      <c r="Q125" s="152">
        <f t="shared" si="30"/>
        <v>535</v>
      </c>
      <c r="R125" s="152">
        <f t="shared" si="31"/>
        <v>535</v>
      </c>
      <c r="S125" s="152">
        <f t="shared" si="32"/>
        <v>535</v>
      </c>
      <c r="T125" s="152">
        <f t="shared" si="33"/>
        <v>535</v>
      </c>
    </row>
    <row r="126" spans="1:20" ht="15.75" hidden="1">
      <c r="A126">
        <v>2</v>
      </c>
      <c r="E126" s="125">
        <v>0.7</v>
      </c>
      <c r="F126" s="420">
        <f t="shared" si="28"/>
        <v>512</v>
      </c>
      <c r="G126" s="414">
        <v>512</v>
      </c>
      <c r="H126" s="414">
        <v>328</v>
      </c>
      <c r="I126" s="414">
        <v>420</v>
      </c>
      <c r="J126" s="414">
        <v>265</v>
      </c>
      <c r="K126" s="414">
        <v>219</v>
      </c>
      <c r="L126" s="414">
        <v>184</v>
      </c>
      <c r="M126" s="414">
        <v>604</v>
      </c>
      <c r="N126" s="414">
        <v>535</v>
      </c>
      <c r="O126" s="152">
        <f t="shared" si="29"/>
        <v>604</v>
      </c>
      <c r="P126" s="152">
        <f t="shared" si="34"/>
        <v>512</v>
      </c>
      <c r="Q126" s="152">
        <f t="shared" si="30"/>
        <v>512</v>
      </c>
      <c r="R126" s="152">
        <f t="shared" si="31"/>
        <v>512</v>
      </c>
      <c r="S126" s="152">
        <f t="shared" si="32"/>
        <v>512</v>
      </c>
      <c r="T126" s="152">
        <f t="shared" si="33"/>
        <v>512</v>
      </c>
    </row>
    <row r="127" spans="1:20" ht="15.75" hidden="1">
      <c r="A127">
        <v>2</v>
      </c>
      <c r="E127" s="125">
        <v>0.8</v>
      </c>
      <c r="F127" s="420">
        <f t="shared" si="28"/>
        <v>615</v>
      </c>
      <c r="G127" s="414">
        <v>615</v>
      </c>
      <c r="H127" s="414">
        <v>397</v>
      </c>
      <c r="I127" s="414">
        <v>454</v>
      </c>
      <c r="J127" s="414">
        <v>391</v>
      </c>
      <c r="K127" s="414">
        <v>322</v>
      </c>
      <c r="L127" s="414">
        <v>207</v>
      </c>
      <c r="M127" s="414">
        <v>638</v>
      </c>
      <c r="N127" s="414">
        <v>546</v>
      </c>
      <c r="O127" s="152">
        <f t="shared" si="29"/>
        <v>638</v>
      </c>
      <c r="P127" s="152">
        <f t="shared" si="34"/>
        <v>615</v>
      </c>
      <c r="Q127" s="152">
        <f t="shared" si="30"/>
        <v>615</v>
      </c>
      <c r="R127" s="152">
        <f t="shared" si="31"/>
        <v>615</v>
      </c>
      <c r="S127" s="152">
        <f t="shared" si="32"/>
        <v>615</v>
      </c>
      <c r="T127" s="152">
        <f t="shared" si="33"/>
        <v>615</v>
      </c>
    </row>
    <row r="128" spans="1:20" ht="15.75" hidden="1">
      <c r="A128">
        <v>2</v>
      </c>
      <c r="E128" s="125">
        <v>1</v>
      </c>
      <c r="F128" s="420">
        <f t="shared" si="28"/>
        <v>765</v>
      </c>
      <c r="G128" s="414">
        <v>765</v>
      </c>
      <c r="H128" s="414">
        <v>500</v>
      </c>
      <c r="I128" s="414">
        <v>472</v>
      </c>
      <c r="J128" s="414">
        <v>380</v>
      </c>
      <c r="K128" s="414">
        <v>357</v>
      </c>
      <c r="L128" s="414">
        <v>207</v>
      </c>
      <c r="M128" s="414">
        <v>679</v>
      </c>
      <c r="N128" s="414">
        <v>564</v>
      </c>
      <c r="O128" s="152">
        <f t="shared" si="29"/>
        <v>679</v>
      </c>
      <c r="P128" s="152">
        <f t="shared" si="34"/>
        <v>765</v>
      </c>
      <c r="Q128" s="152">
        <f t="shared" si="30"/>
        <v>765</v>
      </c>
      <c r="R128" s="152">
        <f t="shared" si="31"/>
        <v>765</v>
      </c>
      <c r="S128" s="152">
        <f t="shared" si="32"/>
        <v>765</v>
      </c>
      <c r="T128" s="152">
        <f t="shared" si="33"/>
        <v>765</v>
      </c>
    </row>
    <row r="129" spans="1:20" ht="15.75" hidden="1">
      <c r="A129">
        <v>2</v>
      </c>
      <c r="E129" s="125">
        <v>1.1</v>
      </c>
      <c r="F129" s="420">
        <f t="shared" si="28"/>
        <v>857</v>
      </c>
      <c r="G129" s="414">
        <v>857</v>
      </c>
      <c r="H129" s="414">
        <v>569</v>
      </c>
      <c r="I129" s="414">
        <v>495</v>
      </c>
      <c r="J129" s="414">
        <v>380</v>
      </c>
      <c r="K129" s="414">
        <v>368</v>
      </c>
      <c r="L129" s="414">
        <v>219</v>
      </c>
      <c r="M129" s="414">
        <v>707</v>
      </c>
      <c r="N129" s="414">
        <v>581</v>
      </c>
      <c r="O129" s="152">
        <f t="shared" si="29"/>
        <v>707</v>
      </c>
      <c r="P129" s="152">
        <f t="shared" si="34"/>
        <v>857</v>
      </c>
      <c r="Q129" s="152">
        <f t="shared" si="30"/>
        <v>857</v>
      </c>
      <c r="R129" s="152">
        <f t="shared" si="31"/>
        <v>857</v>
      </c>
      <c r="S129" s="152">
        <f t="shared" si="32"/>
        <v>857</v>
      </c>
      <c r="T129" s="152">
        <f t="shared" si="33"/>
        <v>857</v>
      </c>
    </row>
    <row r="130" spans="1:20" ht="16.5" hidden="1" thickBot="1">
      <c r="A130">
        <v>2</v>
      </c>
      <c r="E130" s="126">
        <v>1.2</v>
      </c>
      <c r="F130" s="420">
        <f t="shared" si="28"/>
        <v>886</v>
      </c>
      <c r="G130" s="414">
        <v>886</v>
      </c>
      <c r="H130" s="414">
        <v>587</v>
      </c>
      <c r="I130" s="414">
        <v>552</v>
      </c>
      <c r="J130" s="414">
        <v>385</v>
      </c>
      <c r="K130" s="414">
        <v>380</v>
      </c>
      <c r="L130" s="414">
        <v>219</v>
      </c>
      <c r="M130" s="414">
        <v>713</v>
      </c>
      <c r="N130" s="414">
        <v>587</v>
      </c>
      <c r="O130" s="152">
        <f t="shared" si="29"/>
        <v>713</v>
      </c>
      <c r="P130" s="152">
        <f t="shared" si="34"/>
        <v>886</v>
      </c>
      <c r="Q130" s="152">
        <f t="shared" si="30"/>
        <v>886</v>
      </c>
      <c r="R130" s="152">
        <f t="shared" si="31"/>
        <v>886</v>
      </c>
      <c r="S130" s="152">
        <f t="shared" si="32"/>
        <v>886</v>
      </c>
      <c r="T130" s="152">
        <f t="shared" si="33"/>
        <v>886</v>
      </c>
    </row>
    <row r="131" spans="1:20" s="255" customFormat="1" ht="15.75" hidden="1">
      <c r="A131">
        <v>2</v>
      </c>
      <c r="E131" s="256"/>
      <c r="F131" s="164"/>
      <c r="G131" s="164"/>
      <c r="H131" s="257"/>
      <c r="I131" s="258"/>
      <c r="J131" s="258"/>
      <c r="K131" s="164"/>
      <c r="L131" s="11"/>
      <c r="M131" s="135"/>
      <c r="N131" s="135"/>
      <c r="O131" s="135"/>
      <c r="P131" s="135"/>
      <c r="Q131" s="135"/>
      <c r="R131" s="135"/>
      <c r="S131" s="135"/>
      <c r="T131" s="135"/>
    </row>
    <row r="132" spans="1:20" s="255" customFormat="1" ht="15.75" hidden="1">
      <c r="A132">
        <v>2</v>
      </c>
      <c r="E132" s="256"/>
      <c r="F132" s="164" t="s">
        <v>442</v>
      </c>
      <c r="G132" s="164">
        <f>LOOKUP(F164,porantvar2,cod06cargosvar2mar10)</f>
        <v>886</v>
      </c>
      <c r="H132" s="257"/>
      <c r="I132" s="258"/>
      <c r="J132" s="258"/>
      <c r="K132" s="164"/>
      <c r="L132" s="11"/>
      <c r="M132" s="135"/>
      <c r="N132" s="135"/>
      <c r="O132" s="135"/>
      <c r="P132" s="135"/>
      <c r="Q132" s="135"/>
      <c r="R132" s="135"/>
      <c r="S132" s="135"/>
      <c r="T132" s="135"/>
    </row>
    <row r="133" spans="1:20" s="255" customFormat="1" ht="15.75" hidden="1">
      <c r="A133"/>
      <c r="E133" s="256"/>
      <c r="F133" s="164"/>
      <c r="G133" s="164"/>
      <c r="H133" s="257"/>
      <c r="I133" s="258"/>
      <c r="J133" s="258"/>
      <c r="K133" s="164"/>
      <c r="L133" s="11"/>
      <c r="M133" s="135"/>
      <c r="N133" s="135"/>
      <c r="O133" s="135"/>
      <c r="P133" s="135"/>
      <c r="Q133" s="135"/>
      <c r="R133" s="135"/>
      <c r="S133" s="135"/>
      <c r="T133" s="135"/>
    </row>
    <row r="134" spans="1:20" s="255" customFormat="1" ht="15.75" hidden="1">
      <c r="A134"/>
      <c r="E134" s="256"/>
      <c r="F134" s="164"/>
      <c r="G134" s="164"/>
      <c r="H134" s="257"/>
      <c r="I134" s="258"/>
      <c r="J134" s="258"/>
      <c r="K134" s="164"/>
      <c r="L134" s="11"/>
      <c r="M134" s="135"/>
      <c r="N134" s="135"/>
      <c r="O134" s="135"/>
      <c r="P134" s="135"/>
      <c r="Q134" s="135"/>
      <c r="R134" s="135"/>
      <c r="S134" s="135"/>
      <c r="T134" s="135"/>
    </row>
    <row r="135" spans="1:20" ht="16.5" hidden="1" thickBot="1">
      <c r="A135">
        <v>2</v>
      </c>
      <c r="F135" t="s">
        <v>395</v>
      </c>
      <c r="G135" s="10" t="s">
        <v>397</v>
      </c>
      <c r="H135" s="10" t="s">
        <v>398</v>
      </c>
      <c r="I135" s="133" t="s">
        <v>399</v>
      </c>
      <c r="J135" s="133" t="s">
        <v>400</v>
      </c>
      <c r="K135" s="133" t="s">
        <v>401</v>
      </c>
      <c r="L135" s="133" t="s">
        <v>402</v>
      </c>
      <c r="M135" s="133" t="s">
        <v>403</v>
      </c>
      <c r="N135" s="133" t="s">
        <v>404</v>
      </c>
      <c r="O135" s="148" t="s">
        <v>405</v>
      </c>
      <c r="P135" s="148">
        <v>1</v>
      </c>
      <c r="Q135" s="148">
        <v>2</v>
      </c>
      <c r="R135" s="148">
        <v>3</v>
      </c>
      <c r="S135" s="148">
        <v>4</v>
      </c>
      <c r="T135" s="148">
        <v>5</v>
      </c>
    </row>
    <row r="136" spans="1:20" ht="15.75" hidden="1">
      <c r="A136">
        <v>2</v>
      </c>
      <c r="E136" s="123">
        <v>0</v>
      </c>
      <c r="F136" s="420">
        <f aca="true" t="shared" si="35" ref="F136:F147">IF(puntosproljorvarios2&lt;620,T136,O136)</f>
        <v>409</v>
      </c>
      <c r="G136" s="414">
        <v>409</v>
      </c>
      <c r="H136" s="414">
        <v>99</v>
      </c>
      <c r="I136" s="414">
        <v>0</v>
      </c>
      <c r="J136" s="414">
        <v>0</v>
      </c>
      <c r="K136" s="414">
        <v>0</v>
      </c>
      <c r="L136" s="414">
        <v>0</v>
      </c>
      <c r="M136" s="414">
        <v>99</v>
      </c>
      <c r="N136" s="414">
        <v>99</v>
      </c>
      <c r="O136" s="152">
        <f aca="true" t="shared" si="36" ref="O136:O147">IF(punbasjubvarios2&gt;971,N136,M136)</f>
        <v>99</v>
      </c>
      <c r="P136" s="152">
        <f>IF(punbasjubvarios2&lt;972,G136,H136)</f>
        <v>409</v>
      </c>
      <c r="Q136" s="152">
        <f aca="true" t="shared" si="37" ref="Q136:Q147">IF(punbasjubvarios1&lt;1170,P136,I136)</f>
        <v>409</v>
      </c>
      <c r="R136" s="152">
        <f aca="true" t="shared" si="38" ref="R136:R147">IF(punbasjubvarios2&lt;1401,Q136,J136)</f>
        <v>409</v>
      </c>
      <c r="S136" s="152">
        <f aca="true" t="shared" si="39" ref="S136:S147">IF(punbasjubvarios2&lt;1943,R136,K136)</f>
        <v>409</v>
      </c>
      <c r="T136" s="152">
        <f aca="true" t="shared" si="40" ref="T136:T147">IF(punbasjubvarios2&lt;=2220,S136,L136)</f>
        <v>409</v>
      </c>
    </row>
    <row r="137" spans="1:20" ht="15.75" hidden="1">
      <c r="A137">
        <v>2</v>
      </c>
      <c r="E137" s="124">
        <v>0.1</v>
      </c>
      <c r="F137" s="420">
        <f t="shared" si="35"/>
        <v>431</v>
      </c>
      <c r="G137" s="414">
        <v>431</v>
      </c>
      <c r="H137" s="414">
        <v>112</v>
      </c>
      <c r="I137" s="414">
        <v>0</v>
      </c>
      <c r="J137" s="414">
        <v>0</v>
      </c>
      <c r="K137" s="414">
        <v>0</v>
      </c>
      <c r="L137" s="414">
        <v>0</v>
      </c>
      <c r="M137" s="414">
        <v>112</v>
      </c>
      <c r="N137" s="414">
        <v>112</v>
      </c>
      <c r="O137" s="152">
        <f t="shared" si="36"/>
        <v>112</v>
      </c>
      <c r="P137" s="152">
        <f aca="true" t="shared" si="41" ref="P137:P147">IF(punbasjubvarios1&lt;972,G137,H137)</f>
        <v>431</v>
      </c>
      <c r="Q137" s="152">
        <f t="shared" si="37"/>
        <v>431</v>
      </c>
      <c r="R137" s="152">
        <f t="shared" si="38"/>
        <v>431</v>
      </c>
      <c r="S137" s="152">
        <f t="shared" si="39"/>
        <v>431</v>
      </c>
      <c r="T137" s="152">
        <f t="shared" si="40"/>
        <v>431</v>
      </c>
    </row>
    <row r="138" spans="1:20" ht="15.75" hidden="1">
      <c r="A138">
        <v>2</v>
      </c>
      <c r="E138" s="125">
        <v>0.15</v>
      </c>
      <c r="F138" s="420">
        <f t="shared" si="35"/>
        <v>555</v>
      </c>
      <c r="G138" s="414">
        <v>555</v>
      </c>
      <c r="H138" s="414">
        <v>224</v>
      </c>
      <c r="I138" s="414">
        <v>298</v>
      </c>
      <c r="J138" s="414">
        <v>240</v>
      </c>
      <c r="K138" s="414">
        <v>224</v>
      </c>
      <c r="L138" s="414">
        <v>0</v>
      </c>
      <c r="M138" s="414">
        <v>273</v>
      </c>
      <c r="N138" s="414">
        <v>273</v>
      </c>
      <c r="O138" s="152">
        <f t="shared" si="36"/>
        <v>273</v>
      </c>
      <c r="P138" s="152">
        <f t="shared" si="41"/>
        <v>555</v>
      </c>
      <c r="Q138" s="152">
        <f t="shared" si="37"/>
        <v>555</v>
      </c>
      <c r="R138" s="152">
        <f t="shared" si="38"/>
        <v>555</v>
      </c>
      <c r="S138" s="152">
        <f t="shared" si="39"/>
        <v>555</v>
      </c>
      <c r="T138" s="152">
        <f t="shared" si="40"/>
        <v>555</v>
      </c>
    </row>
    <row r="139" spans="1:20" ht="15.75" hidden="1">
      <c r="A139">
        <v>2</v>
      </c>
      <c r="E139" s="125">
        <v>0.3</v>
      </c>
      <c r="F139" s="420">
        <f t="shared" si="35"/>
        <v>623</v>
      </c>
      <c r="G139" s="414">
        <v>623</v>
      </c>
      <c r="H139" s="414">
        <v>242</v>
      </c>
      <c r="I139" s="414">
        <v>298</v>
      </c>
      <c r="J139" s="414">
        <v>240</v>
      </c>
      <c r="K139" s="414">
        <v>224</v>
      </c>
      <c r="L139" s="414">
        <v>0</v>
      </c>
      <c r="M139" s="414">
        <v>472</v>
      </c>
      <c r="N139" s="414">
        <v>435</v>
      </c>
      <c r="O139" s="152">
        <f t="shared" si="36"/>
        <v>472</v>
      </c>
      <c r="P139" s="152">
        <f t="shared" si="41"/>
        <v>623</v>
      </c>
      <c r="Q139" s="152">
        <f t="shared" si="37"/>
        <v>623</v>
      </c>
      <c r="R139" s="152">
        <f t="shared" si="38"/>
        <v>623</v>
      </c>
      <c r="S139" s="152">
        <f t="shared" si="39"/>
        <v>623</v>
      </c>
      <c r="T139" s="152">
        <f t="shared" si="40"/>
        <v>623</v>
      </c>
    </row>
    <row r="140" spans="1:20" ht="15.75" hidden="1">
      <c r="A140">
        <v>2</v>
      </c>
      <c r="E140" s="125">
        <v>0.4</v>
      </c>
      <c r="F140" s="420">
        <f t="shared" si="35"/>
        <v>646</v>
      </c>
      <c r="G140" s="414">
        <v>646</v>
      </c>
      <c r="H140" s="414">
        <v>261</v>
      </c>
      <c r="I140" s="414">
        <v>311</v>
      </c>
      <c r="J140" s="414">
        <v>248</v>
      </c>
      <c r="K140" s="414">
        <v>224</v>
      </c>
      <c r="L140" s="414">
        <v>174</v>
      </c>
      <c r="M140" s="414">
        <v>546</v>
      </c>
      <c r="N140" s="414">
        <v>497</v>
      </c>
      <c r="O140" s="152">
        <f t="shared" si="36"/>
        <v>546</v>
      </c>
      <c r="P140" s="152">
        <f t="shared" si="41"/>
        <v>646</v>
      </c>
      <c r="Q140" s="152">
        <f t="shared" si="37"/>
        <v>646</v>
      </c>
      <c r="R140" s="152">
        <f t="shared" si="38"/>
        <v>646</v>
      </c>
      <c r="S140" s="152">
        <f t="shared" si="39"/>
        <v>646</v>
      </c>
      <c r="T140" s="152">
        <f t="shared" si="40"/>
        <v>646</v>
      </c>
    </row>
    <row r="141" spans="1:20" ht="15.75" hidden="1">
      <c r="A141">
        <v>2</v>
      </c>
      <c r="E141" s="125">
        <v>0.5</v>
      </c>
      <c r="F141" s="420">
        <f t="shared" si="35"/>
        <v>565</v>
      </c>
      <c r="G141" s="414">
        <v>565</v>
      </c>
      <c r="H141" s="414">
        <v>286</v>
      </c>
      <c r="I141" s="414">
        <v>311</v>
      </c>
      <c r="J141" s="414">
        <v>248</v>
      </c>
      <c r="K141" s="414">
        <v>224</v>
      </c>
      <c r="L141" s="414">
        <v>174</v>
      </c>
      <c r="M141" s="414">
        <v>590</v>
      </c>
      <c r="N141" s="414">
        <v>540</v>
      </c>
      <c r="O141" s="152">
        <f t="shared" si="36"/>
        <v>590</v>
      </c>
      <c r="P141" s="152">
        <f t="shared" si="41"/>
        <v>565</v>
      </c>
      <c r="Q141" s="152">
        <f t="shared" si="37"/>
        <v>565</v>
      </c>
      <c r="R141" s="152">
        <f t="shared" si="38"/>
        <v>565</v>
      </c>
      <c r="S141" s="152">
        <f t="shared" si="39"/>
        <v>565</v>
      </c>
      <c r="T141" s="152">
        <f t="shared" si="40"/>
        <v>565</v>
      </c>
    </row>
    <row r="142" spans="1:20" ht="15.75" hidden="1">
      <c r="A142">
        <v>2</v>
      </c>
      <c r="E142" s="125">
        <v>0.6</v>
      </c>
      <c r="F142" s="420">
        <f t="shared" si="35"/>
        <v>578</v>
      </c>
      <c r="G142" s="414">
        <v>578</v>
      </c>
      <c r="H142" s="414">
        <v>323</v>
      </c>
      <c r="I142" s="414">
        <v>323</v>
      </c>
      <c r="J142" s="414">
        <v>252</v>
      </c>
      <c r="K142" s="414">
        <v>236</v>
      </c>
      <c r="L142" s="414">
        <v>199</v>
      </c>
      <c r="M142" s="414">
        <v>633</v>
      </c>
      <c r="N142" s="414">
        <v>559</v>
      </c>
      <c r="O142" s="152">
        <f t="shared" si="36"/>
        <v>633</v>
      </c>
      <c r="P142" s="152">
        <f t="shared" si="41"/>
        <v>578</v>
      </c>
      <c r="Q142" s="152">
        <f t="shared" si="37"/>
        <v>578</v>
      </c>
      <c r="R142" s="152">
        <f t="shared" si="38"/>
        <v>578</v>
      </c>
      <c r="S142" s="152">
        <f t="shared" si="39"/>
        <v>578</v>
      </c>
      <c r="T142" s="152">
        <f t="shared" si="40"/>
        <v>578</v>
      </c>
    </row>
    <row r="143" spans="1:20" ht="15.75" hidden="1">
      <c r="A143">
        <v>2</v>
      </c>
      <c r="E143" s="125">
        <v>0.7</v>
      </c>
      <c r="F143" s="420">
        <f t="shared" si="35"/>
        <v>553</v>
      </c>
      <c r="G143" s="414">
        <v>553</v>
      </c>
      <c r="H143" s="414">
        <v>354</v>
      </c>
      <c r="I143" s="414">
        <v>453</v>
      </c>
      <c r="J143" s="414">
        <v>286</v>
      </c>
      <c r="K143" s="414">
        <v>236</v>
      </c>
      <c r="L143" s="414">
        <v>199</v>
      </c>
      <c r="M143" s="414">
        <v>652</v>
      </c>
      <c r="N143" s="414">
        <v>578</v>
      </c>
      <c r="O143" s="152">
        <f t="shared" si="36"/>
        <v>652</v>
      </c>
      <c r="P143" s="152">
        <f t="shared" si="41"/>
        <v>553</v>
      </c>
      <c r="Q143" s="152">
        <f t="shared" si="37"/>
        <v>553</v>
      </c>
      <c r="R143" s="152">
        <f t="shared" si="38"/>
        <v>553</v>
      </c>
      <c r="S143" s="152">
        <f t="shared" si="39"/>
        <v>553</v>
      </c>
      <c r="T143" s="152">
        <f t="shared" si="40"/>
        <v>553</v>
      </c>
    </row>
    <row r="144" spans="1:20" ht="15.75" hidden="1">
      <c r="A144">
        <v>2</v>
      </c>
      <c r="E144" s="125">
        <v>0.8</v>
      </c>
      <c r="F144" s="420">
        <f t="shared" si="35"/>
        <v>664</v>
      </c>
      <c r="G144" s="414">
        <v>664</v>
      </c>
      <c r="H144" s="414">
        <v>428</v>
      </c>
      <c r="I144" s="414">
        <v>491</v>
      </c>
      <c r="J144" s="414">
        <v>422</v>
      </c>
      <c r="K144" s="414">
        <v>348</v>
      </c>
      <c r="L144" s="414">
        <v>224</v>
      </c>
      <c r="M144" s="414">
        <v>689</v>
      </c>
      <c r="N144" s="414">
        <v>590</v>
      </c>
      <c r="O144" s="152">
        <f t="shared" si="36"/>
        <v>689</v>
      </c>
      <c r="P144" s="152">
        <f t="shared" si="41"/>
        <v>664</v>
      </c>
      <c r="Q144" s="152">
        <f t="shared" si="37"/>
        <v>664</v>
      </c>
      <c r="R144" s="152">
        <f t="shared" si="38"/>
        <v>664</v>
      </c>
      <c r="S144" s="152">
        <f t="shared" si="39"/>
        <v>664</v>
      </c>
      <c r="T144" s="152">
        <f t="shared" si="40"/>
        <v>664</v>
      </c>
    </row>
    <row r="145" spans="1:20" ht="15.75" hidden="1">
      <c r="A145">
        <v>2</v>
      </c>
      <c r="E145" s="125">
        <v>1</v>
      </c>
      <c r="F145" s="420">
        <f t="shared" si="35"/>
        <v>826</v>
      </c>
      <c r="G145" s="414">
        <v>826</v>
      </c>
      <c r="H145" s="414">
        <v>540</v>
      </c>
      <c r="I145" s="414">
        <v>509</v>
      </c>
      <c r="J145" s="414">
        <v>410</v>
      </c>
      <c r="K145" s="414">
        <v>385</v>
      </c>
      <c r="L145" s="414">
        <v>224</v>
      </c>
      <c r="M145" s="414">
        <v>733</v>
      </c>
      <c r="N145" s="414">
        <v>609</v>
      </c>
      <c r="O145" s="152">
        <f t="shared" si="36"/>
        <v>733</v>
      </c>
      <c r="P145" s="152">
        <f t="shared" si="41"/>
        <v>826</v>
      </c>
      <c r="Q145" s="152">
        <f t="shared" si="37"/>
        <v>826</v>
      </c>
      <c r="R145" s="152">
        <f t="shared" si="38"/>
        <v>826</v>
      </c>
      <c r="S145" s="152">
        <f t="shared" si="39"/>
        <v>826</v>
      </c>
      <c r="T145" s="152">
        <f t="shared" si="40"/>
        <v>826</v>
      </c>
    </row>
    <row r="146" spans="1:20" ht="15.75" hidden="1">
      <c r="A146">
        <v>2</v>
      </c>
      <c r="E146" s="125">
        <v>1.1</v>
      </c>
      <c r="F146" s="420">
        <f t="shared" si="35"/>
        <v>925</v>
      </c>
      <c r="G146" s="414">
        <v>925</v>
      </c>
      <c r="H146" s="414">
        <v>615</v>
      </c>
      <c r="I146" s="414">
        <v>534</v>
      </c>
      <c r="J146" s="414">
        <v>410</v>
      </c>
      <c r="K146" s="414">
        <v>397</v>
      </c>
      <c r="L146" s="414">
        <v>236</v>
      </c>
      <c r="M146" s="414">
        <v>764</v>
      </c>
      <c r="N146" s="414">
        <v>627</v>
      </c>
      <c r="O146" s="152">
        <f t="shared" si="36"/>
        <v>764</v>
      </c>
      <c r="P146" s="152">
        <f t="shared" si="41"/>
        <v>925</v>
      </c>
      <c r="Q146" s="152">
        <f t="shared" si="37"/>
        <v>925</v>
      </c>
      <c r="R146" s="152">
        <f t="shared" si="38"/>
        <v>925</v>
      </c>
      <c r="S146" s="152">
        <f t="shared" si="39"/>
        <v>925</v>
      </c>
      <c r="T146" s="152">
        <f t="shared" si="40"/>
        <v>925</v>
      </c>
    </row>
    <row r="147" spans="1:20" ht="16.5" hidden="1" thickBot="1">
      <c r="A147">
        <v>2</v>
      </c>
      <c r="E147" s="126">
        <v>1.2</v>
      </c>
      <c r="F147" s="420">
        <f t="shared" si="35"/>
        <v>956</v>
      </c>
      <c r="G147" s="414">
        <v>956</v>
      </c>
      <c r="H147" s="414">
        <v>633</v>
      </c>
      <c r="I147" s="414">
        <v>596</v>
      </c>
      <c r="J147" s="414">
        <v>416</v>
      </c>
      <c r="K147" s="414">
        <v>410</v>
      </c>
      <c r="L147" s="414">
        <v>236</v>
      </c>
      <c r="M147" s="414">
        <v>770</v>
      </c>
      <c r="N147" s="414">
        <v>633</v>
      </c>
      <c r="O147" s="152">
        <f t="shared" si="36"/>
        <v>770</v>
      </c>
      <c r="P147" s="152">
        <f t="shared" si="41"/>
        <v>956</v>
      </c>
      <c r="Q147" s="152">
        <f t="shared" si="37"/>
        <v>956</v>
      </c>
      <c r="R147" s="152">
        <f t="shared" si="38"/>
        <v>956</v>
      </c>
      <c r="S147" s="152">
        <f t="shared" si="39"/>
        <v>956</v>
      </c>
      <c r="T147" s="152">
        <f t="shared" si="40"/>
        <v>956</v>
      </c>
    </row>
    <row r="148" spans="1:20" s="255" customFormat="1" ht="15.75" hidden="1">
      <c r="A148">
        <v>2</v>
      </c>
      <c r="E148" s="256"/>
      <c r="F148" s="164"/>
      <c r="G148" s="164"/>
      <c r="H148" s="257"/>
      <c r="I148" s="258"/>
      <c r="J148" s="258"/>
      <c r="K148" s="164"/>
      <c r="L148" s="11"/>
      <c r="M148" s="135"/>
      <c r="N148" s="135"/>
      <c r="O148" s="135"/>
      <c r="P148" s="135"/>
      <c r="Q148" s="135"/>
      <c r="R148" s="135"/>
      <c r="S148" s="135"/>
      <c r="T148" s="135"/>
    </row>
    <row r="149" spans="1:20" s="255" customFormat="1" ht="15.75" hidden="1">
      <c r="A149">
        <v>2</v>
      </c>
      <c r="E149" s="256"/>
      <c r="F149" s="164" t="s">
        <v>443</v>
      </c>
      <c r="G149" s="164">
        <f>LOOKUP(F164,porantvar2,cod06cargosvar2jul10)</f>
        <v>956</v>
      </c>
      <c r="H149" s="257"/>
      <c r="I149" s="258"/>
      <c r="J149" s="258"/>
      <c r="K149" s="164"/>
      <c r="L149" s="11"/>
      <c r="M149" s="135"/>
      <c r="N149" s="135"/>
      <c r="O149" s="135"/>
      <c r="P149" s="135"/>
      <c r="Q149" s="135"/>
      <c r="R149" s="135"/>
      <c r="S149" s="135"/>
      <c r="T149" s="135"/>
    </row>
    <row r="150" spans="1:20" s="255" customFormat="1" ht="15.75" hidden="1">
      <c r="A150"/>
      <c r="E150" s="256"/>
      <c r="F150" s="164"/>
      <c r="G150" s="164"/>
      <c r="H150" s="257"/>
      <c r="I150" s="258"/>
      <c r="J150" s="258"/>
      <c r="K150" s="164"/>
      <c r="L150" s="11"/>
      <c r="M150" s="135"/>
      <c r="N150" s="135"/>
      <c r="O150" s="135"/>
      <c r="P150" s="135"/>
      <c r="Q150" s="135"/>
      <c r="R150" s="135"/>
      <c r="S150" s="135"/>
      <c r="T150" s="135"/>
    </row>
    <row r="151" spans="1:16" s="260" customFormat="1" ht="15.75" hidden="1">
      <c r="A151">
        <v>2</v>
      </c>
      <c r="C151" s="256"/>
      <c r="F151" s="164"/>
      <c r="G151" s="135"/>
      <c r="H151" s="75"/>
      <c r="I151" s="75"/>
      <c r="J151" s="164"/>
      <c r="K151" s="11"/>
      <c r="L151" s="135"/>
      <c r="M151" s="135"/>
      <c r="N151" s="135"/>
      <c r="O151" s="135"/>
      <c r="P151" s="135"/>
    </row>
    <row r="152" spans="1:15" ht="12.75">
      <c r="A152" s="272">
        <v>2</v>
      </c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</row>
    <row r="153" spans="1:17" ht="20.25">
      <c r="A153" s="272">
        <v>2</v>
      </c>
      <c r="B153" s="180"/>
      <c r="C153" s="186"/>
      <c r="D153" s="186"/>
      <c r="E153" s="80" t="s">
        <v>388</v>
      </c>
      <c r="F153" s="10"/>
      <c r="G153" s="10"/>
      <c r="H153" s="186"/>
      <c r="I153" s="186"/>
      <c r="J153" s="186"/>
      <c r="K153" s="186"/>
      <c r="L153" s="186"/>
      <c r="M153" s="186"/>
      <c r="N153" s="179"/>
      <c r="O153" s="282"/>
      <c r="P153" s="164"/>
      <c r="Q153" s="164"/>
    </row>
    <row r="154" spans="1:17" ht="12.75">
      <c r="A154" s="272">
        <v>2</v>
      </c>
      <c r="B154" s="180"/>
      <c r="C154" s="180"/>
      <c r="D154" s="180"/>
      <c r="E154" s="180"/>
      <c r="F154" s="180"/>
      <c r="G154" s="180"/>
      <c r="H154" s="274"/>
      <c r="I154" s="180"/>
      <c r="J154" s="180"/>
      <c r="K154" s="180"/>
      <c r="L154" s="180"/>
      <c r="M154" s="180"/>
      <c r="N154" s="179"/>
      <c r="O154" s="282"/>
      <c r="P154" s="164"/>
      <c r="Q154" s="164"/>
    </row>
    <row r="155" spans="1:17" ht="12.75">
      <c r="A155" s="272">
        <v>2</v>
      </c>
      <c r="B155" s="272"/>
      <c r="C155" s="272"/>
      <c r="D155" s="44" t="s">
        <v>37</v>
      </c>
      <c r="E155" s="44" t="s">
        <v>341</v>
      </c>
      <c r="F155" s="44" t="s">
        <v>342</v>
      </c>
      <c r="G155" s="44" t="s">
        <v>343</v>
      </c>
      <c r="H155" s="44" t="s">
        <v>344</v>
      </c>
      <c r="I155" s="100" t="s">
        <v>406</v>
      </c>
      <c r="J155" s="180"/>
      <c r="K155" s="180"/>
      <c r="L155" s="180"/>
      <c r="M155" s="180"/>
      <c r="N155" s="179"/>
      <c r="O155" s="282"/>
      <c r="P155" s="164"/>
      <c r="Q155" s="164"/>
    </row>
    <row r="156" spans="1:17" ht="16.5" thickBot="1">
      <c r="A156" s="272">
        <v>2</v>
      </c>
      <c r="B156" s="272"/>
      <c r="C156" s="272"/>
      <c r="D156" s="117">
        <v>749</v>
      </c>
      <c r="E156" s="81">
        <f>LOOKUP(D156,[0]!numerocargo,[0]!puntosbasicoscargo)</f>
        <v>971</v>
      </c>
      <c r="F156" s="81">
        <f>LOOKUP(D156,[0]!numerocargo,[0]!tardifcargo)</f>
        <v>0</v>
      </c>
      <c r="G156" s="81">
        <f>LOOKUP(D156,[0]!numerocargo,[0]!proljorcargo)</f>
        <v>0</v>
      </c>
      <c r="H156" s="81">
        <f>LOOKUP(D156,[0]!numerocargo,[0]!jorcomcargo)</f>
        <v>0</v>
      </c>
      <c r="I156" s="44">
        <f>LOOKUP(D156,Cargos!A3:A314,puntoscompbasico)</f>
        <v>170</v>
      </c>
      <c r="J156" s="180"/>
      <c r="K156" s="180"/>
      <c r="L156" s="180"/>
      <c r="M156" s="180"/>
      <c r="N156" s="179"/>
      <c r="O156" s="282"/>
      <c r="P156" s="164"/>
      <c r="Q156" s="164"/>
    </row>
    <row r="157" spans="1:17" ht="13.5" thickBot="1">
      <c r="A157" s="272">
        <v>2</v>
      </c>
      <c r="B157" s="272"/>
      <c r="C157" s="272"/>
      <c r="D157" s="82" t="s">
        <v>38</v>
      </c>
      <c r="E157" s="83" t="str">
        <f>LOOKUP(D156,[0]!numerocargo,[0]!nombrecargo)</f>
        <v> MAESTRO DE GRADO</v>
      </c>
      <c r="F157" s="42"/>
      <c r="G157" s="42"/>
      <c r="H157" s="62"/>
      <c r="I157" s="180"/>
      <c r="J157" s="180"/>
      <c r="K157" s="180"/>
      <c r="L157" s="180"/>
      <c r="M157" s="180"/>
      <c r="N157" s="179"/>
      <c r="O157" s="282"/>
      <c r="P157" s="164"/>
      <c r="Q157" s="164"/>
    </row>
    <row r="158" spans="1:17" ht="13.5" thickBot="1">
      <c r="A158" s="272">
        <v>2</v>
      </c>
      <c r="B158" s="272"/>
      <c r="C158" s="272"/>
      <c r="D158" s="273"/>
      <c r="E158" s="274"/>
      <c r="F158" s="180"/>
      <c r="G158" s="180"/>
      <c r="H158" s="180"/>
      <c r="I158" s="128" t="s">
        <v>364</v>
      </c>
      <c r="J158" s="280"/>
      <c r="K158" s="280"/>
      <c r="L158" s="280"/>
      <c r="M158" s="180"/>
      <c r="N158" s="180"/>
      <c r="O158" s="180"/>
      <c r="P158" s="10"/>
      <c r="Q158" s="10"/>
    </row>
    <row r="159" spans="1:17" ht="19.5" thickBot="1" thickTop="1">
      <c r="A159" s="272">
        <v>2</v>
      </c>
      <c r="B159" s="272"/>
      <c r="C159" s="272"/>
      <c r="D159" s="165" t="s">
        <v>358</v>
      </c>
      <c r="E159" s="122"/>
      <c r="F159" s="122"/>
      <c r="G159" s="122"/>
      <c r="H159" s="166">
        <v>0</v>
      </c>
      <c r="I159" s="129">
        <f>H159/120</f>
        <v>0</v>
      </c>
      <c r="J159" s="274"/>
      <c r="K159" s="274"/>
      <c r="L159" s="274"/>
      <c r="M159" s="180"/>
      <c r="N159" s="180"/>
      <c r="O159" s="180"/>
      <c r="P159" s="10"/>
      <c r="Q159" s="10"/>
    </row>
    <row r="160" spans="1:17" ht="17.25" thickBot="1" thickTop="1">
      <c r="A160" s="272">
        <v>2</v>
      </c>
      <c r="B160" s="273"/>
      <c r="C160" s="274"/>
      <c r="D160" s="180"/>
      <c r="E160" s="180"/>
      <c r="F160" s="368"/>
      <c r="G160" s="180"/>
      <c r="H160" s="274"/>
      <c r="I160" s="180"/>
      <c r="J160" s="180"/>
      <c r="K160" s="180"/>
      <c r="L160" s="180"/>
      <c r="M160" s="180"/>
      <c r="N160" s="180"/>
      <c r="O160" s="180"/>
      <c r="P160" s="10"/>
      <c r="Q160" s="10"/>
    </row>
    <row r="161" spans="1:17" ht="17.25" thickBot="1" thickTop="1">
      <c r="A161" s="272">
        <v>2</v>
      </c>
      <c r="B161" s="273"/>
      <c r="C161" s="272"/>
      <c r="D161" s="120" t="s">
        <v>366</v>
      </c>
      <c r="E161" s="132">
        <v>0</v>
      </c>
      <c r="F161" s="368"/>
      <c r="G161" s="180"/>
      <c r="H161" s="274"/>
      <c r="I161" s="180"/>
      <c r="J161" s="180"/>
      <c r="K161" s="180"/>
      <c r="L161" s="180"/>
      <c r="M161" s="180"/>
      <c r="N161" s="180"/>
      <c r="O161" s="180"/>
      <c r="P161" s="10"/>
      <c r="Q161" s="10"/>
    </row>
    <row r="162" spans="1:17" ht="14.25" thickBot="1" thickTop="1">
      <c r="A162" s="272">
        <v>2</v>
      </c>
      <c r="B162" s="273"/>
      <c r="C162" s="274"/>
      <c r="D162" s="180"/>
      <c r="E162" s="180"/>
      <c r="F162" s="180"/>
      <c r="G162" s="180"/>
      <c r="H162" s="274"/>
      <c r="I162" s="180"/>
      <c r="J162" s="180"/>
      <c r="K162" s="180"/>
      <c r="L162" s="180"/>
      <c r="M162" s="180"/>
      <c r="N162" s="180"/>
      <c r="O162" s="180"/>
      <c r="P162" s="10"/>
      <c r="Q162" s="10"/>
    </row>
    <row r="163" spans="1:17" ht="16.5" thickBot="1">
      <c r="A163" s="272">
        <v>2</v>
      </c>
      <c r="B163" s="180"/>
      <c r="C163" s="186"/>
      <c r="D163" s="84" t="s">
        <v>13</v>
      </c>
      <c r="E163" s="42"/>
      <c r="F163" s="85">
        <f>E156*indicefeb09</f>
        <v>725.337</v>
      </c>
      <c r="G163" s="186"/>
      <c r="H163" s="186"/>
      <c r="I163" s="186"/>
      <c r="J163" s="186"/>
      <c r="K163" s="186"/>
      <c r="L163" s="186"/>
      <c r="M163" s="184"/>
      <c r="N163" s="184"/>
      <c r="O163" s="186"/>
      <c r="P163" s="10"/>
      <c r="Q163" s="10"/>
    </row>
    <row r="164" spans="1:17" ht="16.5" thickBot="1">
      <c r="A164" s="272">
        <v>2</v>
      </c>
      <c r="B164" s="180"/>
      <c r="C164" s="186"/>
      <c r="D164" s="181" t="s">
        <v>14</v>
      </c>
      <c r="E164" s="182"/>
      <c r="F164" s="183">
        <v>1.2</v>
      </c>
      <c r="G164" s="74" t="s">
        <v>15</v>
      </c>
      <c r="H164" s="74"/>
      <c r="I164" s="186"/>
      <c r="J164" s="186"/>
      <c r="K164" s="186"/>
      <c r="L164" s="186"/>
      <c r="M164" s="186"/>
      <c r="N164" s="184"/>
      <c r="O164" s="186"/>
      <c r="P164" s="10"/>
      <c r="Q164" s="10"/>
    </row>
    <row r="165" spans="1:17" ht="15.75">
      <c r="A165" s="272">
        <v>2</v>
      </c>
      <c r="B165" s="180"/>
      <c r="C165" s="186"/>
      <c r="D165" s="180"/>
      <c r="E165" s="180"/>
      <c r="F165" s="185"/>
      <c r="G165" s="186"/>
      <c r="H165" s="186"/>
      <c r="I165" s="186"/>
      <c r="J165" s="186"/>
      <c r="K165" s="186"/>
      <c r="L165" s="186"/>
      <c r="M165" s="186"/>
      <c r="N165" s="187"/>
      <c r="O165" s="186"/>
      <c r="P165" s="10"/>
      <c r="Q165" s="10"/>
    </row>
    <row r="166" spans="1:17" ht="18.75" thickBot="1">
      <c r="A166" s="272">
        <v>2</v>
      </c>
      <c r="B166" s="180"/>
      <c r="C166" s="186"/>
      <c r="D166" s="87" t="s">
        <v>16</v>
      </c>
      <c r="E166" s="87"/>
      <c r="F166" s="88">
        <f>E156</f>
        <v>971</v>
      </c>
      <c r="G166" s="10" t="s">
        <v>17</v>
      </c>
      <c r="H166" s="186"/>
      <c r="I166" s="86">
        <f>H156+G156</f>
        <v>0</v>
      </c>
      <c r="J166" s="184"/>
      <c r="K166" s="184"/>
      <c r="L166" s="184"/>
      <c r="M166" s="180"/>
      <c r="N166" s="186"/>
      <c r="O166" s="186"/>
      <c r="P166" s="10"/>
      <c r="Q166" s="10"/>
    </row>
    <row r="167" spans="1:17" ht="15.75">
      <c r="A167" s="272">
        <v>2</v>
      </c>
      <c r="B167" s="180"/>
      <c r="C167" s="186"/>
      <c r="D167" s="2"/>
      <c r="E167" s="2"/>
      <c r="F167" s="170"/>
      <c r="G167" s="186"/>
      <c r="H167" s="186"/>
      <c r="I167" s="180"/>
      <c r="J167" s="180"/>
      <c r="K167" s="180"/>
      <c r="L167" s="180"/>
      <c r="M167" s="366"/>
      <c r="N167" s="186"/>
      <c r="O167" s="186"/>
      <c r="P167" s="10"/>
      <c r="Q167" s="10"/>
    </row>
    <row r="168" spans="1:15" ht="15.75">
      <c r="A168" s="272">
        <v>2</v>
      </c>
      <c r="B168" s="180"/>
      <c r="C168" s="186"/>
      <c r="D168" s="10"/>
      <c r="E168" s="157" t="s">
        <v>428</v>
      </c>
      <c r="F168" s="10"/>
      <c r="G168" s="272"/>
      <c r="H168" s="10"/>
      <c r="I168" s="157" t="s">
        <v>448</v>
      </c>
      <c r="J168" s="10"/>
      <c r="K168" s="272"/>
      <c r="L168" s="10"/>
      <c r="M168" s="157" t="s">
        <v>449</v>
      </c>
      <c r="N168" s="10"/>
      <c r="O168" s="272"/>
    </row>
    <row r="169" spans="1:15" ht="12.75">
      <c r="A169" s="272">
        <v>2</v>
      </c>
      <c r="B169" s="180"/>
      <c r="C169" s="272"/>
      <c r="D169" s="17">
        <v>400</v>
      </c>
      <c r="E169" s="17" t="s">
        <v>18</v>
      </c>
      <c r="F169" s="89">
        <f>punbasjubvarios2*indicefeb09*porjubvarcar*frac2</f>
        <v>0</v>
      </c>
      <c r="G169" s="272"/>
      <c r="H169" s="17">
        <v>400</v>
      </c>
      <c r="I169" s="17" t="s">
        <v>18</v>
      </c>
      <c r="J169" s="89">
        <f>punbasjubvarios2*indicemar2010*porjubvarcar*frac2</f>
        <v>0</v>
      </c>
      <c r="K169" s="272"/>
      <c r="L169" s="17">
        <v>400</v>
      </c>
      <c r="M169" s="17" t="s">
        <v>18</v>
      </c>
      <c r="N169" s="89">
        <f>punbasjubvarios2*indicejul2010*porjubvarcar*frac2</f>
        <v>0</v>
      </c>
      <c r="O169" s="272"/>
    </row>
    <row r="170" spans="1:15" ht="12.75" hidden="1">
      <c r="A170" s="272">
        <v>2</v>
      </c>
      <c r="B170" s="180"/>
      <c r="C170" s="272"/>
      <c r="D170" s="17">
        <v>542</v>
      </c>
      <c r="E170" s="17" t="s">
        <v>418</v>
      </c>
      <c r="F170" s="241">
        <f>compbasicovarios2*indicefeb09*porjubvarcar*frac2</f>
        <v>0</v>
      </c>
      <c r="G170" s="272"/>
      <c r="H170" s="17">
        <v>542</v>
      </c>
      <c r="I170" s="17" t="s">
        <v>418</v>
      </c>
      <c r="J170" s="241">
        <f>compbasicovarios2*indicemar2010*porjubvarcar*frac2</f>
        <v>0</v>
      </c>
      <c r="K170" s="272"/>
      <c r="L170" s="17">
        <v>542</v>
      </c>
      <c r="M170" s="17" t="s">
        <v>418</v>
      </c>
      <c r="N170" s="241">
        <f>compbasicovarios2*indicejul2010*porjubvarcar*frac2</f>
        <v>0</v>
      </c>
      <c r="O170" s="272"/>
    </row>
    <row r="171" spans="1:14" ht="12.75" hidden="1">
      <c r="A171" s="272">
        <v>2</v>
      </c>
      <c r="B171" s="180"/>
      <c r="C171" s="272"/>
      <c r="D171" s="17">
        <v>404</v>
      </c>
      <c r="E171" s="17" t="s">
        <v>346</v>
      </c>
      <c r="F171" s="89">
        <f>puntardifvar2*indicefeb09*porjubvarcar*frac2</f>
        <v>0</v>
      </c>
      <c r="G171" s="272"/>
      <c r="H171" s="17">
        <v>404</v>
      </c>
      <c r="I171" s="17" t="s">
        <v>346</v>
      </c>
      <c r="J171" s="89">
        <f>puntardifvar2*indicemar2010*porjubvarcar*frac2</f>
        <v>0</v>
      </c>
      <c r="L171" s="17">
        <v>404</v>
      </c>
      <c r="M171" s="17" t="s">
        <v>346</v>
      </c>
      <c r="N171" s="89">
        <f>puntardifvar2*indicejul2010*porjubvarcar*frac2</f>
        <v>0</v>
      </c>
    </row>
    <row r="172" spans="1:14" ht="12.75" hidden="1">
      <c r="A172" s="272">
        <v>2</v>
      </c>
      <c r="B172" s="180"/>
      <c r="C172" s="272"/>
      <c r="D172" s="17">
        <v>406</v>
      </c>
      <c r="E172" s="17" t="s">
        <v>19</v>
      </c>
      <c r="F172" s="89">
        <f>(F169+F170+F171+F174)*F164</f>
        <v>0</v>
      </c>
      <c r="G172" s="272"/>
      <c r="H172" s="17">
        <v>406</v>
      </c>
      <c r="I172" s="17" t="s">
        <v>19</v>
      </c>
      <c r="J172" s="89">
        <f>(J169+J170+J171+J174)*F164</f>
        <v>0</v>
      </c>
      <c r="L172" s="17">
        <v>406</v>
      </c>
      <c r="M172" s="17" t="s">
        <v>19</v>
      </c>
      <c r="N172" s="89">
        <f>(N169+N170+N171+N174)*F164</f>
        <v>0</v>
      </c>
    </row>
    <row r="173" spans="1:14" ht="12.75" hidden="1">
      <c r="A173" s="272">
        <v>2</v>
      </c>
      <c r="B173" s="180"/>
      <c r="C173" s="272"/>
      <c r="D173" s="17">
        <v>408</v>
      </c>
      <c r="E173" s="17" t="s">
        <v>365</v>
      </c>
      <c r="F173" s="89">
        <f>(F169+F170+F171+F174)*E161</f>
        <v>0</v>
      </c>
      <c r="G173" s="272"/>
      <c r="H173" s="17">
        <v>408</v>
      </c>
      <c r="I173" s="17" t="s">
        <v>365</v>
      </c>
      <c r="J173" s="89">
        <f>(J169+J170+J171+J174)*E161</f>
        <v>0</v>
      </c>
      <c r="L173" s="17">
        <v>408</v>
      </c>
      <c r="M173" s="17" t="s">
        <v>365</v>
      </c>
      <c r="N173" s="89">
        <f>(N169+N170+N171+N174)*E161</f>
        <v>0</v>
      </c>
    </row>
    <row r="174" spans="1:14" ht="12.75" hidden="1">
      <c r="A174" s="272">
        <v>2</v>
      </c>
      <c r="B174" s="180"/>
      <c r="C174" s="272"/>
      <c r="D174" s="17">
        <v>416</v>
      </c>
      <c r="E174" s="90" t="s">
        <v>347</v>
      </c>
      <c r="F174" s="89">
        <f>puntosproljorvarios2*proljorfeb09*porjubvarcar*frac2</f>
        <v>0</v>
      </c>
      <c r="G174" s="272"/>
      <c r="H174" s="17">
        <v>416</v>
      </c>
      <c r="I174" s="90" t="s">
        <v>347</v>
      </c>
      <c r="J174" s="89">
        <f>puntosproljorvarios2*proljormar2010*porjubvarcar*frac2</f>
        <v>0</v>
      </c>
      <c r="L174" s="17">
        <v>416</v>
      </c>
      <c r="M174" s="90" t="s">
        <v>347</v>
      </c>
      <c r="N174" s="89">
        <f>puntosproljorvarios2*proljorjul2010*porjubvarcar*frac2</f>
        <v>0</v>
      </c>
    </row>
    <row r="175" spans="1:14" ht="12.75" hidden="1">
      <c r="A175" s="272">
        <v>2</v>
      </c>
      <c r="B175" s="180"/>
      <c r="C175" s="272"/>
      <c r="D175" s="17">
        <v>432</v>
      </c>
      <c r="E175" s="17" t="s">
        <v>363</v>
      </c>
      <c r="F175" s="89">
        <f>cod06mar09varios2*porjubvarcar*frac2</f>
        <v>0</v>
      </c>
      <c r="G175" s="272"/>
      <c r="H175" s="17">
        <v>432</v>
      </c>
      <c r="I175" s="17" t="s">
        <v>363</v>
      </c>
      <c r="J175" s="89">
        <f>cod06mar10varios2*porjubvarcar*frac2</f>
        <v>0</v>
      </c>
      <c r="L175" s="17">
        <v>432</v>
      </c>
      <c r="M175" s="17" t="s">
        <v>363</v>
      </c>
      <c r="N175" s="89">
        <f>cod06jul10varios2*porjubvarcar*frac2</f>
        <v>0</v>
      </c>
    </row>
    <row r="176" spans="1:14" ht="12.75" hidden="1">
      <c r="A176" s="272">
        <v>2</v>
      </c>
      <c r="B176" s="180"/>
      <c r="C176" s="272"/>
      <c r="D176" s="17">
        <v>434</v>
      </c>
      <c r="E176" s="17" t="s">
        <v>345</v>
      </c>
      <c r="F176" s="89">
        <f>(F169+F170+F171+F172+F174+F175+F173)*0.07*0.95</f>
        <v>0</v>
      </c>
      <c r="G176" s="272"/>
      <c r="H176" s="17">
        <v>434</v>
      </c>
      <c r="I176" s="17" t="s">
        <v>345</v>
      </c>
      <c r="J176" s="89">
        <f>(J169+J170+J171+J172+J174+J175+J173)*0.07*0.95</f>
        <v>0</v>
      </c>
      <c r="L176" s="17">
        <v>434</v>
      </c>
      <c r="M176" s="17" t="s">
        <v>345</v>
      </c>
      <c r="N176" s="89">
        <f>(N169+N170+N171+N172+N174+N175+N173)*0.07*0.95</f>
        <v>0</v>
      </c>
    </row>
    <row r="177" spans="1:14" ht="12.75" hidden="1">
      <c r="A177" s="272">
        <v>2</v>
      </c>
      <c r="B177" s="180"/>
      <c r="C177" s="272"/>
      <c r="D177" s="17"/>
      <c r="E177" s="91"/>
      <c r="F177" s="171"/>
      <c r="G177" s="272"/>
      <c r="H177" s="17"/>
      <c r="I177" s="91"/>
      <c r="J177" s="171"/>
      <c r="L177" s="17"/>
      <c r="M177" s="91"/>
      <c r="N177" s="171"/>
    </row>
    <row r="178" spans="1:14" ht="13.5" hidden="1" thickBot="1">
      <c r="A178" s="272">
        <v>2</v>
      </c>
      <c r="B178" s="180"/>
      <c r="C178" s="272"/>
      <c r="D178" s="17"/>
      <c r="E178" s="91" t="s">
        <v>361</v>
      </c>
      <c r="F178" s="118">
        <v>0</v>
      </c>
      <c r="G178" s="272"/>
      <c r="H178" s="17"/>
      <c r="I178" s="91" t="s">
        <v>361</v>
      </c>
      <c r="J178" s="118">
        <v>0</v>
      </c>
      <c r="L178" s="17"/>
      <c r="M178" s="91" t="s">
        <v>361</v>
      </c>
      <c r="N178" s="118">
        <v>0</v>
      </c>
    </row>
    <row r="179" spans="1:14" ht="16.5" hidden="1" thickBot="1">
      <c r="A179" s="272">
        <v>2</v>
      </c>
      <c r="B179" s="180"/>
      <c r="C179" s="272"/>
      <c r="D179" s="92"/>
      <c r="E179" s="93" t="s">
        <v>20</v>
      </c>
      <c r="F179" s="94">
        <f>SUM(F169:F178)</f>
        <v>0</v>
      </c>
      <c r="G179" s="272"/>
      <c r="H179" s="92"/>
      <c r="I179" s="93" t="s">
        <v>20</v>
      </c>
      <c r="J179" s="94">
        <f>SUM(J169:J178)</f>
        <v>0</v>
      </c>
      <c r="L179" s="92"/>
      <c r="M179" s="93" t="s">
        <v>20</v>
      </c>
      <c r="N179" s="94">
        <f>SUM(N169:N178)</f>
        <v>0</v>
      </c>
    </row>
    <row r="180" spans="1:14" ht="12.75" hidden="1">
      <c r="A180" s="272">
        <v>2</v>
      </c>
      <c r="B180" s="180"/>
      <c r="C180" s="272"/>
      <c r="D180" s="17">
        <v>703</v>
      </c>
      <c r="E180" s="95" t="s">
        <v>348</v>
      </c>
      <c r="F180" s="96">
        <f>(F179-F178)*0.0025</f>
        <v>0</v>
      </c>
      <c r="G180" s="272"/>
      <c r="H180" s="17">
        <v>703</v>
      </c>
      <c r="I180" s="95" t="s">
        <v>348</v>
      </c>
      <c r="J180" s="96">
        <f>(J179-J178)*0.0025</f>
        <v>0</v>
      </c>
      <c r="L180" s="17">
        <v>703</v>
      </c>
      <c r="M180" s="95" t="s">
        <v>348</v>
      </c>
      <c r="N180" s="96">
        <f>(N179-N178)*0.0025</f>
        <v>0</v>
      </c>
    </row>
    <row r="181" spans="1:14" ht="12.75" hidden="1">
      <c r="A181" s="272">
        <v>2</v>
      </c>
      <c r="B181" s="180"/>
      <c r="C181" s="272"/>
      <c r="D181" s="18">
        <v>707</v>
      </c>
      <c r="E181" s="97" t="s">
        <v>22</v>
      </c>
      <c r="F181" s="16">
        <f>(F179-F178)*0.03</f>
        <v>0</v>
      </c>
      <c r="G181" s="272"/>
      <c r="H181" s="18">
        <v>707</v>
      </c>
      <c r="I181" s="97" t="s">
        <v>22</v>
      </c>
      <c r="J181" s="16">
        <f>(J179-J178)*0.03</f>
        <v>0</v>
      </c>
      <c r="L181" s="18">
        <v>707</v>
      </c>
      <c r="M181" s="97" t="s">
        <v>22</v>
      </c>
      <c r="N181" s="16">
        <f>(N179-N178)*0.03</f>
        <v>0</v>
      </c>
    </row>
    <row r="182" spans="1:14" ht="12.75" hidden="1">
      <c r="A182" s="272">
        <v>2</v>
      </c>
      <c r="B182" s="180"/>
      <c r="C182" s="272"/>
      <c r="D182" s="18">
        <v>709</v>
      </c>
      <c r="E182" s="97" t="s">
        <v>23</v>
      </c>
      <c r="F182" s="16">
        <f>(F179-F178)*0.0213</f>
        <v>0</v>
      </c>
      <c r="G182" s="272"/>
      <c r="H182" s="18">
        <v>709</v>
      </c>
      <c r="I182" s="97" t="s">
        <v>23</v>
      </c>
      <c r="J182" s="16">
        <f>(J179-J178)*0.0213</f>
        <v>0</v>
      </c>
      <c r="L182" s="18">
        <v>709</v>
      </c>
      <c r="M182" s="97" t="s">
        <v>23</v>
      </c>
      <c r="N182" s="16">
        <f>(N179-N178)*0.0213</f>
        <v>0</v>
      </c>
    </row>
    <row r="183" spans="1:14" ht="12.75" hidden="1">
      <c r="A183" s="272">
        <v>2</v>
      </c>
      <c r="B183" s="180"/>
      <c r="C183" s="272"/>
      <c r="D183" s="15">
        <v>710</v>
      </c>
      <c r="E183" s="97" t="s">
        <v>24</v>
      </c>
      <c r="F183" s="16">
        <f>(F179-F178)*0.00754</f>
        <v>0</v>
      </c>
      <c r="G183" s="272"/>
      <c r="H183" s="15">
        <v>710</v>
      </c>
      <c r="I183" s="97" t="s">
        <v>24</v>
      </c>
      <c r="J183" s="16">
        <f>(J179-J178)*0.00754</f>
        <v>0</v>
      </c>
      <c r="L183" s="15">
        <v>710</v>
      </c>
      <c r="M183" s="97" t="s">
        <v>24</v>
      </c>
      <c r="N183" s="16">
        <f>(N179-N178)*0.00754</f>
        <v>0</v>
      </c>
    </row>
    <row r="184" spans="1:14" ht="12.75" hidden="1">
      <c r="A184" s="272">
        <v>2</v>
      </c>
      <c r="B184" s="180"/>
      <c r="C184" s="272"/>
      <c r="D184" s="15">
        <v>713</v>
      </c>
      <c r="E184" s="97" t="s">
        <v>25</v>
      </c>
      <c r="F184" s="16">
        <f>(F179-F178)*0.007</f>
        <v>0</v>
      </c>
      <c r="G184" s="272"/>
      <c r="H184" s="15">
        <v>713</v>
      </c>
      <c r="I184" s="97" t="s">
        <v>25</v>
      </c>
      <c r="J184" s="16">
        <f>(J179-J178)*0.007</f>
        <v>0</v>
      </c>
      <c r="L184" s="15">
        <v>713</v>
      </c>
      <c r="M184" s="97" t="s">
        <v>25</v>
      </c>
      <c r="N184" s="16">
        <f>(N179-N178)*0.007</f>
        <v>0</v>
      </c>
    </row>
    <row r="185" spans="1:14" ht="13.5" hidden="1" thickBot="1">
      <c r="A185" s="272">
        <v>2</v>
      </c>
      <c r="B185" s="180"/>
      <c r="C185" s="272"/>
      <c r="D185" s="15"/>
      <c r="E185" s="98" t="s">
        <v>26</v>
      </c>
      <c r="F185" s="48">
        <v>0</v>
      </c>
      <c r="G185" s="272"/>
      <c r="H185" s="15"/>
      <c r="I185" s="98" t="s">
        <v>26</v>
      </c>
      <c r="J185" s="48">
        <v>0</v>
      </c>
      <c r="L185" s="15"/>
      <c r="M185" s="98" t="s">
        <v>26</v>
      </c>
      <c r="N185" s="48">
        <v>0</v>
      </c>
    </row>
    <row r="186" spans="1:14" ht="16.5" hidden="1" thickBot="1">
      <c r="A186" s="272">
        <v>2</v>
      </c>
      <c r="B186" s="180"/>
      <c r="C186" s="272"/>
      <c r="D186" s="99"/>
      <c r="E186" s="93" t="s">
        <v>27</v>
      </c>
      <c r="F186" s="94">
        <f>SUM(F180:F185)</f>
        <v>0</v>
      </c>
      <c r="G186" s="272"/>
      <c r="H186" s="99"/>
      <c r="I186" s="93" t="s">
        <v>27</v>
      </c>
      <c r="J186" s="94">
        <f>SUM(J180:J185)</f>
        <v>0</v>
      </c>
      <c r="L186" s="99"/>
      <c r="M186" s="93" t="s">
        <v>27</v>
      </c>
      <c r="N186" s="94">
        <f>SUM(N180:N185)</f>
        <v>0</v>
      </c>
    </row>
    <row r="187" spans="1:14" ht="13.5" hidden="1" thickBot="1">
      <c r="A187" s="272">
        <v>2</v>
      </c>
      <c r="B187" s="180"/>
      <c r="C187" s="272"/>
      <c r="D187" s="100"/>
      <c r="E187" s="101"/>
      <c r="F187" s="102"/>
      <c r="G187" s="272"/>
      <c r="H187" s="100"/>
      <c r="I187" s="101"/>
      <c r="J187" s="102"/>
      <c r="L187" s="100"/>
      <c r="M187" s="101"/>
      <c r="N187" s="102"/>
    </row>
    <row r="188" spans="1:14" ht="16.5" hidden="1" thickBot="1">
      <c r="A188" s="272">
        <v>2</v>
      </c>
      <c r="B188" s="186"/>
      <c r="C188" s="272"/>
      <c r="D188" s="103"/>
      <c r="E188" s="104" t="s">
        <v>28</v>
      </c>
      <c r="F188" s="105">
        <f>F179-F186</f>
        <v>0</v>
      </c>
      <c r="G188" s="272"/>
      <c r="H188" s="103"/>
      <c r="I188" s="104" t="s">
        <v>28</v>
      </c>
      <c r="J188" s="105">
        <f>J179-J186</f>
        <v>0</v>
      </c>
      <c r="L188" s="103"/>
      <c r="M188" s="104" t="s">
        <v>28</v>
      </c>
      <c r="N188" s="105">
        <f>N179-N186</f>
        <v>0</v>
      </c>
    </row>
    <row r="189" spans="1:14" s="262" customFormat="1" ht="15.75" hidden="1">
      <c r="A189" s="272">
        <v>2</v>
      </c>
      <c r="B189" s="180"/>
      <c r="C189" s="180"/>
      <c r="D189" s="2"/>
      <c r="E189" s="263"/>
      <c r="F189" s="2"/>
      <c r="G189" s="180"/>
      <c r="H189" s="2"/>
      <c r="I189" s="263"/>
      <c r="J189" s="2"/>
      <c r="L189" s="2"/>
      <c r="M189" s="263"/>
      <c r="N189" s="2"/>
    </row>
    <row r="190" spans="1:16" ht="15.75" hidden="1">
      <c r="A190" s="272">
        <v>2</v>
      </c>
      <c r="B190" s="186"/>
      <c r="C190" s="186"/>
      <c r="D190" s="4"/>
      <c r="E190" s="205"/>
      <c r="F190" s="208"/>
      <c r="G190" s="186"/>
      <c r="H190" s="4"/>
      <c r="I190" s="205"/>
      <c r="J190" s="208"/>
      <c r="K190" s="255"/>
      <c r="L190" s="4"/>
      <c r="M190" s="205"/>
      <c r="N190" s="208"/>
      <c r="O190" s="268"/>
      <c r="P190" s="269"/>
    </row>
    <row r="191" spans="1:17" ht="15.75">
      <c r="A191" s="272"/>
      <c r="B191" s="186"/>
      <c r="C191" s="275"/>
      <c r="D191" s="276"/>
      <c r="E191" s="277"/>
      <c r="F191" s="186"/>
      <c r="G191" s="275"/>
      <c r="H191" s="278"/>
      <c r="I191" s="279"/>
      <c r="J191" s="279"/>
      <c r="K191" s="279"/>
      <c r="L191" s="279"/>
      <c r="M191" s="186"/>
      <c r="N191" s="274"/>
      <c r="O191" s="180"/>
      <c r="P191" s="74"/>
      <c r="Q191" s="74"/>
    </row>
    <row r="192" ht="12.75" hidden="1"/>
    <row r="193" spans="3:16" s="260" customFormat="1" ht="15.75" hidden="1">
      <c r="C193" s="256"/>
      <c r="F193" s="164"/>
      <c r="G193" s="135"/>
      <c r="H193" s="259"/>
      <c r="I193" s="75"/>
      <c r="J193" s="259"/>
      <c r="K193" s="261"/>
      <c r="L193" s="11"/>
      <c r="M193" s="135"/>
      <c r="N193" s="135"/>
      <c r="O193" s="135"/>
      <c r="P193" s="135"/>
    </row>
    <row r="194" s="260" customFormat="1" ht="12.75" hidden="1"/>
    <row r="195" s="260" customFormat="1" ht="12.75" hidden="1"/>
    <row r="196" spans="1:20" ht="16.5" hidden="1" thickBot="1">
      <c r="A196">
        <v>3</v>
      </c>
      <c r="F196" t="s">
        <v>395</v>
      </c>
      <c r="G196" s="10" t="s">
        <v>397</v>
      </c>
      <c r="H196" s="10" t="s">
        <v>398</v>
      </c>
      <c r="I196" s="133" t="s">
        <v>399</v>
      </c>
      <c r="J196" s="133" t="s">
        <v>400</v>
      </c>
      <c r="K196" s="133" t="s">
        <v>401</v>
      </c>
      <c r="L196" s="133" t="s">
        <v>402</v>
      </c>
      <c r="M196" s="133" t="s">
        <v>403</v>
      </c>
      <c r="N196" s="133" t="s">
        <v>404</v>
      </c>
      <c r="O196" s="148" t="s">
        <v>405</v>
      </c>
      <c r="P196" s="148">
        <v>1</v>
      </c>
      <c r="Q196" s="148">
        <v>2</v>
      </c>
      <c r="R196" s="148">
        <v>3</v>
      </c>
      <c r="S196" s="148">
        <v>4</v>
      </c>
      <c r="T196" s="148">
        <v>5</v>
      </c>
    </row>
    <row r="197" spans="1:20" ht="16.5" hidden="1" thickBot="1">
      <c r="A197">
        <v>3</v>
      </c>
      <c r="E197" s="123">
        <v>0</v>
      </c>
      <c r="F197" s="420">
        <f aca="true" t="shared" si="42" ref="F197:F208">IF(puntosproljorvarios3&lt;620,T197,O197)</f>
        <v>233</v>
      </c>
      <c r="G197" s="405">
        <v>233</v>
      </c>
      <c r="H197" s="223">
        <v>80</v>
      </c>
      <c r="I197" s="149">
        <v>0</v>
      </c>
      <c r="J197" s="150">
        <v>0</v>
      </c>
      <c r="K197" s="151">
        <v>0</v>
      </c>
      <c r="L197" s="224">
        <v>0</v>
      </c>
      <c r="M197" s="225">
        <v>80</v>
      </c>
      <c r="N197" s="226">
        <v>80</v>
      </c>
      <c r="O197" s="152">
        <f aca="true" t="shared" si="43" ref="O197:O208">IF(punbasjubvarios3&gt;971,N197,M197)</f>
        <v>80</v>
      </c>
      <c r="P197" s="152">
        <f aca="true" t="shared" si="44" ref="P197:P208">IF(punbasjubvarios3&lt;972,G197,H197)</f>
        <v>233</v>
      </c>
      <c r="Q197" s="152">
        <f aca="true" t="shared" si="45" ref="Q197:Q208">IF(punbasjubvarios3&lt;1170,P197,I197)</f>
        <v>233</v>
      </c>
      <c r="R197" s="152">
        <f aca="true" t="shared" si="46" ref="R197:R208">IF(punbasjubvarios3&lt;1401,Q197,J197)</f>
        <v>233</v>
      </c>
      <c r="S197" s="152">
        <f aca="true" t="shared" si="47" ref="S197:S207">IF(punbasjubvarios3&lt;1943,R197,K197)</f>
        <v>233</v>
      </c>
      <c r="T197" s="152">
        <f aca="true" t="shared" si="48" ref="T197:T208">IF(punbasjubvarios3&lt;=2220,S197,L197)</f>
        <v>233</v>
      </c>
    </row>
    <row r="198" spans="1:20" ht="16.5" hidden="1" thickBot="1">
      <c r="A198">
        <v>3</v>
      </c>
      <c r="E198" s="124">
        <v>0.1</v>
      </c>
      <c r="F198" s="420">
        <f t="shared" si="42"/>
        <v>250</v>
      </c>
      <c r="G198" s="406">
        <v>250</v>
      </c>
      <c r="H198" s="228">
        <v>90</v>
      </c>
      <c r="I198" s="149">
        <v>0</v>
      </c>
      <c r="J198" s="150">
        <v>0</v>
      </c>
      <c r="K198" s="151">
        <v>0</v>
      </c>
      <c r="L198" s="224">
        <v>0</v>
      </c>
      <c r="M198" s="225">
        <v>90</v>
      </c>
      <c r="N198" s="226">
        <v>90</v>
      </c>
      <c r="O198" s="152">
        <f t="shared" si="43"/>
        <v>90</v>
      </c>
      <c r="P198" s="152">
        <f t="shared" si="44"/>
        <v>250</v>
      </c>
      <c r="Q198" s="152">
        <f t="shared" si="45"/>
        <v>250</v>
      </c>
      <c r="R198" s="152">
        <f t="shared" si="46"/>
        <v>250</v>
      </c>
      <c r="S198" s="152">
        <f t="shared" si="47"/>
        <v>250</v>
      </c>
      <c r="T198" s="152">
        <f t="shared" si="48"/>
        <v>250</v>
      </c>
    </row>
    <row r="199" spans="1:20" ht="16.5" hidden="1" thickBot="1">
      <c r="A199">
        <v>3</v>
      </c>
      <c r="E199" s="125">
        <v>0.15</v>
      </c>
      <c r="F199" s="420">
        <f t="shared" si="42"/>
        <v>350</v>
      </c>
      <c r="G199" s="406">
        <v>350</v>
      </c>
      <c r="H199" s="228">
        <v>180</v>
      </c>
      <c r="I199" s="153">
        <v>240</v>
      </c>
      <c r="J199" s="154">
        <v>193</v>
      </c>
      <c r="K199" s="155">
        <v>180</v>
      </c>
      <c r="L199" s="224">
        <v>0</v>
      </c>
      <c r="M199" s="225">
        <v>220</v>
      </c>
      <c r="N199" s="226">
        <v>220</v>
      </c>
      <c r="O199" s="152">
        <f t="shared" si="43"/>
        <v>220</v>
      </c>
      <c r="P199" s="152">
        <f t="shared" si="44"/>
        <v>350</v>
      </c>
      <c r="Q199" s="152">
        <f t="shared" si="45"/>
        <v>350</v>
      </c>
      <c r="R199" s="152">
        <f t="shared" si="46"/>
        <v>350</v>
      </c>
      <c r="S199" s="152">
        <f t="shared" si="47"/>
        <v>350</v>
      </c>
      <c r="T199" s="152">
        <f t="shared" si="48"/>
        <v>350</v>
      </c>
    </row>
    <row r="200" spans="1:20" ht="16.5" hidden="1" thickBot="1">
      <c r="A200">
        <v>3</v>
      </c>
      <c r="E200" s="125">
        <v>0.3</v>
      </c>
      <c r="F200" s="420">
        <f t="shared" si="42"/>
        <v>405</v>
      </c>
      <c r="G200" s="406">
        <v>405</v>
      </c>
      <c r="H200" s="228">
        <v>195</v>
      </c>
      <c r="I200" s="153">
        <v>240</v>
      </c>
      <c r="J200" s="154">
        <v>193</v>
      </c>
      <c r="K200" s="155">
        <v>180</v>
      </c>
      <c r="L200" s="224">
        <v>0</v>
      </c>
      <c r="M200" s="225">
        <v>380</v>
      </c>
      <c r="N200" s="226">
        <v>350</v>
      </c>
      <c r="O200" s="152">
        <f t="shared" si="43"/>
        <v>380</v>
      </c>
      <c r="P200" s="152">
        <f t="shared" si="44"/>
        <v>405</v>
      </c>
      <c r="Q200" s="152">
        <f t="shared" si="45"/>
        <v>405</v>
      </c>
      <c r="R200" s="152">
        <f t="shared" si="46"/>
        <v>405</v>
      </c>
      <c r="S200" s="152">
        <f t="shared" si="47"/>
        <v>405</v>
      </c>
      <c r="T200" s="152">
        <f t="shared" si="48"/>
        <v>405</v>
      </c>
    </row>
    <row r="201" spans="1:20" ht="16.5" hidden="1" thickBot="1">
      <c r="A201">
        <v>3</v>
      </c>
      <c r="E201" s="125">
        <v>0.4</v>
      </c>
      <c r="F201" s="420">
        <f t="shared" si="42"/>
        <v>440</v>
      </c>
      <c r="G201" s="406">
        <v>440</v>
      </c>
      <c r="H201" s="228">
        <v>210</v>
      </c>
      <c r="I201" s="153">
        <v>250</v>
      </c>
      <c r="J201" s="154">
        <v>200</v>
      </c>
      <c r="K201" s="155">
        <v>180</v>
      </c>
      <c r="L201" s="224">
        <v>140</v>
      </c>
      <c r="M201" s="225">
        <v>440</v>
      </c>
      <c r="N201" s="226">
        <v>400</v>
      </c>
      <c r="O201" s="152">
        <f t="shared" si="43"/>
        <v>440</v>
      </c>
      <c r="P201" s="152">
        <f t="shared" si="44"/>
        <v>440</v>
      </c>
      <c r="Q201" s="152">
        <f t="shared" si="45"/>
        <v>440</v>
      </c>
      <c r="R201" s="152">
        <f t="shared" si="46"/>
        <v>440</v>
      </c>
      <c r="S201" s="152">
        <f t="shared" si="47"/>
        <v>440</v>
      </c>
      <c r="T201" s="152">
        <f t="shared" si="48"/>
        <v>440</v>
      </c>
    </row>
    <row r="202" spans="1:20" ht="16.5" hidden="1" thickBot="1">
      <c r="A202">
        <v>3</v>
      </c>
      <c r="E202" s="125">
        <v>0.5</v>
      </c>
      <c r="F202" s="420">
        <f t="shared" si="42"/>
        <v>455</v>
      </c>
      <c r="G202" s="406">
        <v>455</v>
      </c>
      <c r="H202" s="228">
        <v>230</v>
      </c>
      <c r="I202" s="153">
        <v>250</v>
      </c>
      <c r="J202" s="137">
        <v>200</v>
      </c>
      <c r="K202" s="155">
        <v>180</v>
      </c>
      <c r="L202" s="224">
        <v>140</v>
      </c>
      <c r="M202" s="225">
        <v>475</v>
      </c>
      <c r="N202" s="226">
        <v>435</v>
      </c>
      <c r="O202" s="152">
        <f t="shared" si="43"/>
        <v>475</v>
      </c>
      <c r="P202" s="152">
        <f t="shared" si="44"/>
        <v>455</v>
      </c>
      <c r="Q202" s="152">
        <f t="shared" si="45"/>
        <v>455</v>
      </c>
      <c r="R202" s="152">
        <f t="shared" si="46"/>
        <v>455</v>
      </c>
      <c r="S202" s="152">
        <f t="shared" si="47"/>
        <v>455</v>
      </c>
      <c r="T202" s="152">
        <f t="shared" si="48"/>
        <v>455</v>
      </c>
    </row>
    <row r="203" spans="1:20" ht="16.5" hidden="1" thickBot="1">
      <c r="A203">
        <v>3</v>
      </c>
      <c r="E203" s="125">
        <v>0.6</v>
      </c>
      <c r="F203" s="420">
        <f t="shared" si="42"/>
        <v>465</v>
      </c>
      <c r="G203" s="406">
        <v>465</v>
      </c>
      <c r="H203" s="228">
        <v>260</v>
      </c>
      <c r="I203" s="153">
        <v>260</v>
      </c>
      <c r="J203" s="137">
        <v>203</v>
      </c>
      <c r="K203" s="155">
        <v>190</v>
      </c>
      <c r="L203" s="224">
        <v>160</v>
      </c>
      <c r="M203" s="225">
        <v>510</v>
      </c>
      <c r="N203" s="226">
        <v>450</v>
      </c>
      <c r="O203" s="152">
        <f t="shared" si="43"/>
        <v>510</v>
      </c>
      <c r="P203" s="152">
        <f t="shared" si="44"/>
        <v>465</v>
      </c>
      <c r="Q203" s="152">
        <f t="shared" si="45"/>
        <v>465</v>
      </c>
      <c r="R203" s="152">
        <f t="shared" si="46"/>
        <v>465</v>
      </c>
      <c r="S203" s="152">
        <f t="shared" si="47"/>
        <v>465</v>
      </c>
      <c r="T203" s="152">
        <f t="shared" si="48"/>
        <v>465</v>
      </c>
    </row>
    <row r="204" spans="1:20" ht="16.5" hidden="1" thickBot="1">
      <c r="A204">
        <v>3</v>
      </c>
      <c r="E204" s="125">
        <v>0.7</v>
      </c>
      <c r="F204" s="420">
        <f t="shared" si="42"/>
        <v>445</v>
      </c>
      <c r="G204" s="406">
        <v>445</v>
      </c>
      <c r="H204" s="228">
        <v>285</v>
      </c>
      <c r="I204" s="153">
        <v>365</v>
      </c>
      <c r="J204" s="137">
        <v>230</v>
      </c>
      <c r="K204" s="155">
        <v>190</v>
      </c>
      <c r="L204" s="224">
        <v>160</v>
      </c>
      <c r="M204" s="225">
        <v>525</v>
      </c>
      <c r="N204" s="226">
        <v>465</v>
      </c>
      <c r="O204" s="152">
        <f t="shared" si="43"/>
        <v>525</v>
      </c>
      <c r="P204" s="152">
        <f t="shared" si="44"/>
        <v>445</v>
      </c>
      <c r="Q204" s="152">
        <f t="shared" si="45"/>
        <v>445</v>
      </c>
      <c r="R204" s="152">
        <f t="shared" si="46"/>
        <v>445</v>
      </c>
      <c r="S204" s="152">
        <f t="shared" si="47"/>
        <v>445</v>
      </c>
      <c r="T204" s="152">
        <f t="shared" si="48"/>
        <v>445</v>
      </c>
    </row>
    <row r="205" spans="1:20" ht="16.5" hidden="1" thickBot="1">
      <c r="A205">
        <v>3</v>
      </c>
      <c r="E205" s="125">
        <v>0.8</v>
      </c>
      <c r="F205" s="420">
        <f t="shared" si="42"/>
        <v>535</v>
      </c>
      <c r="G205" s="406">
        <v>535</v>
      </c>
      <c r="H205" s="228">
        <v>345</v>
      </c>
      <c r="I205" s="136">
        <v>395</v>
      </c>
      <c r="J205" s="137">
        <v>340</v>
      </c>
      <c r="K205" s="156">
        <v>280</v>
      </c>
      <c r="L205" s="230">
        <v>180</v>
      </c>
      <c r="M205" s="225">
        <v>555</v>
      </c>
      <c r="N205" s="226">
        <v>475</v>
      </c>
      <c r="O205" s="152">
        <f t="shared" si="43"/>
        <v>555</v>
      </c>
      <c r="P205" s="152">
        <f t="shared" si="44"/>
        <v>535</v>
      </c>
      <c r="Q205" s="152">
        <f t="shared" si="45"/>
        <v>535</v>
      </c>
      <c r="R205" s="152">
        <f t="shared" si="46"/>
        <v>535</v>
      </c>
      <c r="S205" s="152">
        <f t="shared" si="47"/>
        <v>535</v>
      </c>
      <c r="T205" s="152">
        <f t="shared" si="48"/>
        <v>535</v>
      </c>
    </row>
    <row r="206" spans="1:20" ht="16.5" hidden="1" thickBot="1">
      <c r="A206">
        <v>3</v>
      </c>
      <c r="E206" s="125">
        <v>1</v>
      </c>
      <c r="F206" s="420">
        <f t="shared" si="42"/>
        <v>665</v>
      </c>
      <c r="G206" s="406">
        <v>665</v>
      </c>
      <c r="H206" s="228">
        <v>435</v>
      </c>
      <c r="I206" s="136">
        <v>410</v>
      </c>
      <c r="J206" s="137">
        <v>330</v>
      </c>
      <c r="K206" s="156">
        <v>310</v>
      </c>
      <c r="L206" s="230">
        <v>180</v>
      </c>
      <c r="M206" s="225">
        <v>590</v>
      </c>
      <c r="N206" s="226">
        <v>490</v>
      </c>
      <c r="O206" s="152">
        <f t="shared" si="43"/>
        <v>590</v>
      </c>
      <c r="P206" s="152">
        <f t="shared" si="44"/>
        <v>665</v>
      </c>
      <c r="Q206" s="152">
        <f t="shared" si="45"/>
        <v>665</v>
      </c>
      <c r="R206" s="152">
        <f t="shared" si="46"/>
        <v>665</v>
      </c>
      <c r="S206" s="152">
        <f t="shared" si="47"/>
        <v>665</v>
      </c>
      <c r="T206" s="152">
        <f t="shared" si="48"/>
        <v>665</v>
      </c>
    </row>
    <row r="207" spans="1:20" ht="16.5" hidden="1" thickBot="1">
      <c r="A207">
        <v>3</v>
      </c>
      <c r="E207" s="125">
        <v>1.1</v>
      </c>
      <c r="F207" s="420">
        <f t="shared" si="42"/>
        <v>745</v>
      </c>
      <c r="G207" s="406">
        <v>745</v>
      </c>
      <c r="H207" s="228">
        <v>495</v>
      </c>
      <c r="I207" s="136">
        <v>430</v>
      </c>
      <c r="J207" s="137">
        <v>330</v>
      </c>
      <c r="K207" s="156">
        <v>320</v>
      </c>
      <c r="L207" s="230">
        <v>190</v>
      </c>
      <c r="M207" s="225">
        <v>615</v>
      </c>
      <c r="N207" s="226">
        <v>505</v>
      </c>
      <c r="O207" s="152">
        <f t="shared" si="43"/>
        <v>615</v>
      </c>
      <c r="P207" s="152">
        <f t="shared" si="44"/>
        <v>745</v>
      </c>
      <c r="Q207" s="152">
        <f t="shared" si="45"/>
        <v>745</v>
      </c>
      <c r="R207" s="152">
        <f t="shared" si="46"/>
        <v>745</v>
      </c>
      <c r="S207" s="152">
        <f t="shared" si="47"/>
        <v>745</v>
      </c>
      <c r="T207" s="152">
        <f t="shared" si="48"/>
        <v>745</v>
      </c>
    </row>
    <row r="208" spans="1:20" ht="16.5" hidden="1" thickBot="1">
      <c r="A208">
        <v>3</v>
      </c>
      <c r="E208" s="126">
        <v>1.2</v>
      </c>
      <c r="F208" s="420">
        <f t="shared" si="42"/>
        <v>770</v>
      </c>
      <c r="G208" s="406">
        <v>770</v>
      </c>
      <c r="H208" s="228">
        <v>510</v>
      </c>
      <c r="I208" s="136">
        <v>480</v>
      </c>
      <c r="J208" s="137">
        <v>335</v>
      </c>
      <c r="K208" s="156">
        <v>330</v>
      </c>
      <c r="L208" s="230">
        <v>190</v>
      </c>
      <c r="M208" s="225">
        <v>620</v>
      </c>
      <c r="N208" s="226">
        <v>510</v>
      </c>
      <c r="O208" s="152">
        <f t="shared" si="43"/>
        <v>620</v>
      </c>
      <c r="P208" s="152">
        <f t="shared" si="44"/>
        <v>770</v>
      </c>
      <c r="Q208" s="152">
        <f t="shared" si="45"/>
        <v>770</v>
      </c>
      <c r="R208" s="152">
        <f t="shared" si="46"/>
        <v>770</v>
      </c>
      <c r="S208" s="152">
        <f>IF(punbasjubvarios1&lt;1943,R208,K208)</f>
        <v>770</v>
      </c>
      <c r="T208" s="152">
        <f t="shared" si="48"/>
        <v>770</v>
      </c>
    </row>
    <row r="209" spans="1:20" s="255" customFormat="1" ht="15.75" hidden="1">
      <c r="A209">
        <v>3</v>
      </c>
      <c r="E209" s="256"/>
      <c r="F209" s="164"/>
      <c r="G209" s="164"/>
      <c r="H209" s="257"/>
      <c r="I209" s="258"/>
      <c r="J209" s="258"/>
      <c r="K209" s="164"/>
      <c r="L209" s="11"/>
      <c r="M209" s="135"/>
      <c r="N209" s="135"/>
      <c r="O209" s="135"/>
      <c r="P209" s="135"/>
      <c r="Q209" s="135"/>
      <c r="R209" s="135"/>
      <c r="S209" s="135"/>
      <c r="T209" s="135"/>
    </row>
    <row r="210" spans="1:20" s="255" customFormat="1" ht="15.75" hidden="1">
      <c r="A210">
        <v>3</v>
      </c>
      <c r="E210" s="256"/>
      <c r="F210" s="164" t="s">
        <v>426</v>
      </c>
      <c r="G210" s="164">
        <f>LOOKUP(F258,porantvar3,cod06cargosvar3)</f>
        <v>770</v>
      </c>
      <c r="H210" s="257"/>
      <c r="I210" s="258"/>
      <c r="J210" s="258"/>
      <c r="K210" s="164"/>
      <c r="L210" s="11"/>
      <c r="M210" s="135"/>
      <c r="N210" s="135"/>
      <c r="O210" s="135"/>
      <c r="P210" s="135"/>
      <c r="Q210" s="135"/>
      <c r="R210" s="135"/>
      <c r="S210" s="135"/>
      <c r="T210" s="135"/>
    </row>
    <row r="211" spans="1:20" s="255" customFormat="1" ht="15.75" hidden="1">
      <c r="A211"/>
      <c r="E211" s="256"/>
      <c r="F211" s="164"/>
      <c r="G211" s="164"/>
      <c r="H211" s="257"/>
      <c r="I211" s="258"/>
      <c r="J211" s="258"/>
      <c r="K211" s="164"/>
      <c r="L211" s="11"/>
      <c r="M211" s="135"/>
      <c r="N211" s="135"/>
      <c r="O211" s="135"/>
      <c r="P211" s="135"/>
      <c r="Q211" s="135"/>
      <c r="R211" s="135"/>
      <c r="S211" s="135"/>
      <c r="T211" s="135"/>
    </row>
    <row r="212" spans="1:20" ht="16.5" hidden="1" thickBot="1">
      <c r="A212">
        <v>3</v>
      </c>
      <c r="F212" t="s">
        <v>395</v>
      </c>
      <c r="G212" s="10" t="s">
        <v>397</v>
      </c>
      <c r="H212" s="10" t="s">
        <v>398</v>
      </c>
      <c r="I212" s="133" t="s">
        <v>399</v>
      </c>
      <c r="J212" s="133" t="s">
        <v>400</v>
      </c>
      <c r="K212" s="133" t="s">
        <v>401</v>
      </c>
      <c r="L212" s="133" t="s">
        <v>402</v>
      </c>
      <c r="M212" s="133" t="s">
        <v>403</v>
      </c>
      <c r="N212" s="133" t="s">
        <v>404</v>
      </c>
      <c r="O212" s="148" t="s">
        <v>405</v>
      </c>
      <c r="P212" s="148">
        <v>1</v>
      </c>
      <c r="Q212" s="148">
        <v>2</v>
      </c>
      <c r="R212" s="148">
        <v>3</v>
      </c>
      <c r="S212" s="148">
        <v>4</v>
      </c>
      <c r="T212" s="148">
        <v>5</v>
      </c>
    </row>
    <row r="213" spans="1:20" ht="15.75" hidden="1">
      <c r="A213">
        <v>3</v>
      </c>
      <c r="E213" s="123">
        <v>0</v>
      </c>
      <c r="F213" s="420">
        <f aca="true" t="shared" si="49" ref="F213:F224">IF(puntosproljorvarios3&lt;620,T213,O213)</f>
        <v>268</v>
      </c>
      <c r="G213" s="414">
        <v>268</v>
      </c>
      <c r="H213" s="414">
        <v>92</v>
      </c>
      <c r="I213" s="414">
        <v>0</v>
      </c>
      <c r="J213" s="414">
        <v>0</v>
      </c>
      <c r="K213" s="414">
        <v>0</v>
      </c>
      <c r="L213" s="414">
        <v>0</v>
      </c>
      <c r="M213" s="414">
        <v>92</v>
      </c>
      <c r="N213" s="414">
        <v>92</v>
      </c>
      <c r="O213" s="152">
        <f aca="true" t="shared" si="50" ref="O213:O224">IF(punbasjubvarios3&gt;971,N213,M213)</f>
        <v>92</v>
      </c>
      <c r="P213" s="152">
        <f aca="true" t="shared" si="51" ref="P213:P224">IF(punbasjubvarios3&lt;972,G213,H213)</f>
        <v>268</v>
      </c>
      <c r="Q213" s="152">
        <f aca="true" t="shared" si="52" ref="Q213:Q224">IF(punbasjubvarios3&lt;1170,P213,I213)</f>
        <v>268</v>
      </c>
      <c r="R213" s="152">
        <f aca="true" t="shared" si="53" ref="R213:R224">IF(punbasjubvarios3&lt;1401,Q213,J213)</f>
        <v>268</v>
      </c>
      <c r="S213" s="152">
        <f aca="true" t="shared" si="54" ref="S213:S223">IF(punbasjubvarios3&lt;1943,R213,K213)</f>
        <v>268</v>
      </c>
      <c r="T213" s="152">
        <f aca="true" t="shared" si="55" ref="T213:T224">IF(punbasjubvarios3&lt;=2220,S213,L213)</f>
        <v>268</v>
      </c>
    </row>
    <row r="214" spans="1:20" ht="15.75" hidden="1">
      <c r="A214">
        <v>3</v>
      </c>
      <c r="E214" s="124">
        <v>0.1</v>
      </c>
      <c r="F214" s="420">
        <f t="shared" si="49"/>
        <v>288</v>
      </c>
      <c r="G214" s="414">
        <v>288</v>
      </c>
      <c r="H214" s="414">
        <v>104</v>
      </c>
      <c r="I214" s="414">
        <v>0</v>
      </c>
      <c r="J214" s="414">
        <v>0</v>
      </c>
      <c r="K214" s="414">
        <v>0</v>
      </c>
      <c r="L214" s="414">
        <v>0</v>
      </c>
      <c r="M214" s="414">
        <v>104</v>
      </c>
      <c r="N214" s="414">
        <v>104</v>
      </c>
      <c r="O214" s="152">
        <f t="shared" si="50"/>
        <v>104</v>
      </c>
      <c r="P214" s="152">
        <f t="shared" si="51"/>
        <v>288</v>
      </c>
      <c r="Q214" s="152">
        <f t="shared" si="52"/>
        <v>288</v>
      </c>
      <c r="R214" s="152">
        <f t="shared" si="53"/>
        <v>288</v>
      </c>
      <c r="S214" s="152">
        <f t="shared" si="54"/>
        <v>288</v>
      </c>
      <c r="T214" s="152">
        <f t="shared" si="55"/>
        <v>288</v>
      </c>
    </row>
    <row r="215" spans="1:20" ht="15.75" hidden="1">
      <c r="A215">
        <v>3</v>
      </c>
      <c r="E215" s="125">
        <v>0.15</v>
      </c>
      <c r="F215" s="420">
        <f t="shared" si="49"/>
        <v>403</v>
      </c>
      <c r="G215" s="414">
        <v>403</v>
      </c>
      <c r="H215" s="414">
        <v>207</v>
      </c>
      <c r="I215" s="414">
        <v>276</v>
      </c>
      <c r="J215" s="414">
        <v>222</v>
      </c>
      <c r="K215" s="414">
        <v>207</v>
      </c>
      <c r="L215" s="414">
        <v>0</v>
      </c>
      <c r="M215" s="414">
        <v>253</v>
      </c>
      <c r="N215" s="414">
        <v>253</v>
      </c>
      <c r="O215" s="152">
        <f t="shared" si="50"/>
        <v>253</v>
      </c>
      <c r="P215" s="152">
        <f t="shared" si="51"/>
        <v>403</v>
      </c>
      <c r="Q215" s="152">
        <f t="shared" si="52"/>
        <v>403</v>
      </c>
      <c r="R215" s="152">
        <f t="shared" si="53"/>
        <v>403</v>
      </c>
      <c r="S215" s="152">
        <f t="shared" si="54"/>
        <v>403</v>
      </c>
      <c r="T215" s="152">
        <f t="shared" si="55"/>
        <v>403</v>
      </c>
    </row>
    <row r="216" spans="1:20" ht="15.75" hidden="1">
      <c r="A216">
        <v>3</v>
      </c>
      <c r="E216" s="125">
        <v>0.3</v>
      </c>
      <c r="F216" s="420">
        <f t="shared" si="49"/>
        <v>466</v>
      </c>
      <c r="G216" s="414">
        <v>466</v>
      </c>
      <c r="H216" s="414">
        <v>224</v>
      </c>
      <c r="I216" s="414">
        <v>276</v>
      </c>
      <c r="J216" s="414">
        <v>222</v>
      </c>
      <c r="K216" s="414">
        <v>207</v>
      </c>
      <c r="L216" s="414">
        <v>0</v>
      </c>
      <c r="M216" s="414">
        <v>437</v>
      </c>
      <c r="N216" s="414">
        <v>403</v>
      </c>
      <c r="O216" s="152">
        <f t="shared" si="50"/>
        <v>437</v>
      </c>
      <c r="P216" s="152">
        <f t="shared" si="51"/>
        <v>466</v>
      </c>
      <c r="Q216" s="152">
        <f t="shared" si="52"/>
        <v>466</v>
      </c>
      <c r="R216" s="152">
        <f t="shared" si="53"/>
        <v>466</v>
      </c>
      <c r="S216" s="152">
        <f t="shared" si="54"/>
        <v>466</v>
      </c>
      <c r="T216" s="152">
        <f t="shared" si="55"/>
        <v>466</v>
      </c>
    </row>
    <row r="217" spans="1:20" ht="15.75" hidden="1">
      <c r="A217">
        <v>3</v>
      </c>
      <c r="E217" s="125">
        <v>0.4</v>
      </c>
      <c r="F217" s="420">
        <f t="shared" si="49"/>
        <v>506</v>
      </c>
      <c r="G217" s="414">
        <v>506</v>
      </c>
      <c r="H217" s="414">
        <v>242</v>
      </c>
      <c r="I217" s="414">
        <v>288</v>
      </c>
      <c r="J217" s="414">
        <v>230</v>
      </c>
      <c r="K217" s="414">
        <v>207</v>
      </c>
      <c r="L217" s="414">
        <v>161</v>
      </c>
      <c r="M217" s="414">
        <v>506</v>
      </c>
      <c r="N217" s="414">
        <v>460</v>
      </c>
      <c r="O217" s="152">
        <f t="shared" si="50"/>
        <v>506</v>
      </c>
      <c r="P217" s="152">
        <f t="shared" si="51"/>
        <v>506</v>
      </c>
      <c r="Q217" s="152">
        <f t="shared" si="52"/>
        <v>506</v>
      </c>
      <c r="R217" s="152">
        <f t="shared" si="53"/>
        <v>506</v>
      </c>
      <c r="S217" s="152">
        <f t="shared" si="54"/>
        <v>506</v>
      </c>
      <c r="T217" s="152">
        <f t="shared" si="55"/>
        <v>506</v>
      </c>
    </row>
    <row r="218" spans="1:20" ht="15.75" hidden="1">
      <c r="A218">
        <v>3</v>
      </c>
      <c r="E218" s="125">
        <v>0.5</v>
      </c>
      <c r="F218" s="420">
        <f t="shared" si="49"/>
        <v>523</v>
      </c>
      <c r="G218" s="414">
        <v>523</v>
      </c>
      <c r="H218" s="414">
        <v>265</v>
      </c>
      <c r="I218" s="414">
        <v>288</v>
      </c>
      <c r="J218" s="414">
        <v>230</v>
      </c>
      <c r="K218" s="414">
        <v>207</v>
      </c>
      <c r="L218" s="414">
        <v>161</v>
      </c>
      <c r="M218" s="414">
        <v>546</v>
      </c>
      <c r="N218" s="414">
        <v>500</v>
      </c>
      <c r="O218" s="152">
        <f t="shared" si="50"/>
        <v>546</v>
      </c>
      <c r="P218" s="152">
        <f t="shared" si="51"/>
        <v>523</v>
      </c>
      <c r="Q218" s="152">
        <f t="shared" si="52"/>
        <v>523</v>
      </c>
      <c r="R218" s="152">
        <f t="shared" si="53"/>
        <v>523</v>
      </c>
      <c r="S218" s="152">
        <f t="shared" si="54"/>
        <v>523</v>
      </c>
      <c r="T218" s="152">
        <f t="shared" si="55"/>
        <v>523</v>
      </c>
    </row>
    <row r="219" spans="1:20" ht="15.75" hidden="1">
      <c r="A219">
        <v>3</v>
      </c>
      <c r="E219" s="125">
        <v>0.6</v>
      </c>
      <c r="F219" s="420">
        <f t="shared" si="49"/>
        <v>535</v>
      </c>
      <c r="G219" s="414">
        <v>535</v>
      </c>
      <c r="H219" s="414">
        <v>299</v>
      </c>
      <c r="I219" s="414">
        <v>299</v>
      </c>
      <c r="J219" s="414">
        <v>233</v>
      </c>
      <c r="K219" s="414">
        <v>219</v>
      </c>
      <c r="L219" s="414">
        <v>184</v>
      </c>
      <c r="M219" s="414">
        <v>587</v>
      </c>
      <c r="N219" s="414">
        <v>518</v>
      </c>
      <c r="O219" s="152">
        <f t="shared" si="50"/>
        <v>587</v>
      </c>
      <c r="P219" s="152">
        <f t="shared" si="51"/>
        <v>535</v>
      </c>
      <c r="Q219" s="152">
        <f t="shared" si="52"/>
        <v>535</v>
      </c>
      <c r="R219" s="152">
        <f t="shared" si="53"/>
        <v>535</v>
      </c>
      <c r="S219" s="152">
        <f t="shared" si="54"/>
        <v>535</v>
      </c>
      <c r="T219" s="152">
        <f t="shared" si="55"/>
        <v>535</v>
      </c>
    </row>
    <row r="220" spans="1:20" ht="15.75" hidden="1">
      <c r="A220">
        <v>3</v>
      </c>
      <c r="E220" s="125">
        <v>0.7</v>
      </c>
      <c r="F220" s="420">
        <f t="shared" si="49"/>
        <v>512</v>
      </c>
      <c r="G220" s="414">
        <v>512</v>
      </c>
      <c r="H220" s="414">
        <v>328</v>
      </c>
      <c r="I220" s="414">
        <v>420</v>
      </c>
      <c r="J220" s="414">
        <v>265</v>
      </c>
      <c r="K220" s="414">
        <v>219</v>
      </c>
      <c r="L220" s="414">
        <v>184</v>
      </c>
      <c r="M220" s="414">
        <v>604</v>
      </c>
      <c r="N220" s="414">
        <v>535</v>
      </c>
      <c r="O220" s="152">
        <f t="shared" si="50"/>
        <v>604</v>
      </c>
      <c r="P220" s="152">
        <f t="shared" si="51"/>
        <v>512</v>
      </c>
      <c r="Q220" s="152">
        <f t="shared" si="52"/>
        <v>512</v>
      </c>
      <c r="R220" s="152">
        <f t="shared" si="53"/>
        <v>512</v>
      </c>
      <c r="S220" s="152">
        <f t="shared" si="54"/>
        <v>512</v>
      </c>
      <c r="T220" s="152">
        <f t="shared" si="55"/>
        <v>512</v>
      </c>
    </row>
    <row r="221" spans="1:20" ht="15.75" hidden="1">
      <c r="A221">
        <v>3</v>
      </c>
      <c r="E221" s="125">
        <v>0.8</v>
      </c>
      <c r="F221" s="420">
        <f t="shared" si="49"/>
        <v>615</v>
      </c>
      <c r="G221" s="414">
        <v>615</v>
      </c>
      <c r="H221" s="414">
        <v>397</v>
      </c>
      <c r="I221" s="414">
        <v>454</v>
      </c>
      <c r="J221" s="414">
        <v>391</v>
      </c>
      <c r="K221" s="414">
        <v>322</v>
      </c>
      <c r="L221" s="414">
        <v>207</v>
      </c>
      <c r="M221" s="414">
        <v>638</v>
      </c>
      <c r="N221" s="414">
        <v>546</v>
      </c>
      <c r="O221" s="152">
        <f t="shared" si="50"/>
        <v>638</v>
      </c>
      <c r="P221" s="152">
        <f t="shared" si="51"/>
        <v>615</v>
      </c>
      <c r="Q221" s="152">
        <f t="shared" si="52"/>
        <v>615</v>
      </c>
      <c r="R221" s="152">
        <f t="shared" si="53"/>
        <v>615</v>
      </c>
      <c r="S221" s="152">
        <f t="shared" si="54"/>
        <v>615</v>
      </c>
      <c r="T221" s="152">
        <f t="shared" si="55"/>
        <v>615</v>
      </c>
    </row>
    <row r="222" spans="1:20" ht="15.75" hidden="1">
      <c r="A222">
        <v>3</v>
      </c>
      <c r="E222" s="125">
        <v>1</v>
      </c>
      <c r="F222" s="420">
        <f t="shared" si="49"/>
        <v>765</v>
      </c>
      <c r="G222" s="414">
        <v>765</v>
      </c>
      <c r="H222" s="414">
        <v>500</v>
      </c>
      <c r="I222" s="414">
        <v>472</v>
      </c>
      <c r="J222" s="414">
        <v>380</v>
      </c>
      <c r="K222" s="414">
        <v>357</v>
      </c>
      <c r="L222" s="414">
        <v>207</v>
      </c>
      <c r="M222" s="414">
        <v>679</v>
      </c>
      <c r="N222" s="414">
        <v>564</v>
      </c>
      <c r="O222" s="152">
        <f t="shared" si="50"/>
        <v>679</v>
      </c>
      <c r="P222" s="152">
        <f t="shared" si="51"/>
        <v>765</v>
      </c>
      <c r="Q222" s="152">
        <f t="shared" si="52"/>
        <v>765</v>
      </c>
      <c r="R222" s="152">
        <f t="shared" si="53"/>
        <v>765</v>
      </c>
      <c r="S222" s="152">
        <f t="shared" si="54"/>
        <v>765</v>
      </c>
      <c r="T222" s="152">
        <f t="shared" si="55"/>
        <v>765</v>
      </c>
    </row>
    <row r="223" spans="1:20" ht="15.75" hidden="1">
      <c r="A223">
        <v>3</v>
      </c>
      <c r="E223" s="125">
        <v>1.1</v>
      </c>
      <c r="F223" s="420">
        <f t="shared" si="49"/>
        <v>857</v>
      </c>
      <c r="G223" s="414">
        <v>857</v>
      </c>
      <c r="H223" s="414">
        <v>569</v>
      </c>
      <c r="I223" s="414">
        <v>495</v>
      </c>
      <c r="J223" s="414">
        <v>380</v>
      </c>
      <c r="K223" s="414">
        <v>368</v>
      </c>
      <c r="L223" s="414">
        <v>219</v>
      </c>
      <c r="M223" s="414">
        <v>707</v>
      </c>
      <c r="N223" s="414">
        <v>581</v>
      </c>
      <c r="O223" s="152">
        <f t="shared" si="50"/>
        <v>707</v>
      </c>
      <c r="P223" s="152">
        <f t="shared" si="51"/>
        <v>857</v>
      </c>
      <c r="Q223" s="152">
        <f t="shared" si="52"/>
        <v>857</v>
      </c>
      <c r="R223" s="152">
        <f t="shared" si="53"/>
        <v>857</v>
      </c>
      <c r="S223" s="152">
        <f t="shared" si="54"/>
        <v>857</v>
      </c>
      <c r="T223" s="152">
        <f t="shared" si="55"/>
        <v>857</v>
      </c>
    </row>
    <row r="224" spans="1:20" ht="16.5" hidden="1" thickBot="1">
      <c r="A224">
        <v>3</v>
      </c>
      <c r="E224" s="126">
        <v>1.2</v>
      </c>
      <c r="F224" s="420">
        <f t="shared" si="49"/>
        <v>886</v>
      </c>
      <c r="G224" s="414">
        <v>886</v>
      </c>
      <c r="H224" s="414">
        <v>587</v>
      </c>
      <c r="I224" s="414">
        <v>552</v>
      </c>
      <c r="J224" s="414">
        <v>385</v>
      </c>
      <c r="K224" s="414">
        <v>380</v>
      </c>
      <c r="L224" s="414">
        <v>219</v>
      </c>
      <c r="M224" s="414">
        <v>713</v>
      </c>
      <c r="N224" s="414">
        <v>587</v>
      </c>
      <c r="O224" s="152">
        <f t="shared" si="50"/>
        <v>713</v>
      </c>
      <c r="P224" s="152">
        <f t="shared" si="51"/>
        <v>886</v>
      </c>
      <c r="Q224" s="152">
        <f t="shared" si="52"/>
        <v>886</v>
      </c>
      <c r="R224" s="152">
        <f t="shared" si="53"/>
        <v>886</v>
      </c>
      <c r="S224" s="152">
        <f>IF(punbasjubvarios1&lt;1943,R224,K224)</f>
        <v>886</v>
      </c>
      <c r="T224" s="152">
        <f t="shared" si="55"/>
        <v>886</v>
      </c>
    </row>
    <row r="225" spans="1:20" s="255" customFormat="1" ht="15.75" hidden="1">
      <c r="A225">
        <v>3</v>
      </c>
      <c r="E225" s="256"/>
      <c r="F225" s="164"/>
      <c r="G225" s="164"/>
      <c r="H225" s="257"/>
      <c r="I225" s="258"/>
      <c r="J225" s="258"/>
      <c r="K225" s="164"/>
      <c r="L225" s="11"/>
      <c r="M225" s="135"/>
      <c r="N225" s="135"/>
      <c r="O225" s="135"/>
      <c r="P225" s="135"/>
      <c r="Q225" s="135"/>
      <c r="R225" s="135"/>
      <c r="S225" s="135"/>
      <c r="T225" s="135"/>
    </row>
    <row r="226" spans="1:20" s="255" customFormat="1" ht="15.75" hidden="1">
      <c r="A226">
        <v>3</v>
      </c>
      <c r="E226" s="256"/>
      <c r="F226" s="164" t="s">
        <v>444</v>
      </c>
      <c r="G226" s="164">
        <f>LOOKUP(F258,porantvar3,cod06cargosvar3mar10)</f>
        <v>886</v>
      </c>
      <c r="H226" s="257"/>
      <c r="I226" s="258"/>
      <c r="J226" s="258"/>
      <c r="K226" s="164"/>
      <c r="L226" s="11"/>
      <c r="M226" s="135"/>
      <c r="N226" s="135"/>
      <c r="O226" s="135"/>
      <c r="P226" s="135"/>
      <c r="Q226" s="135"/>
      <c r="R226" s="135"/>
      <c r="S226" s="135"/>
      <c r="T226" s="135"/>
    </row>
    <row r="227" spans="1:20" s="255" customFormat="1" ht="15.75" hidden="1">
      <c r="A227"/>
      <c r="E227" s="256"/>
      <c r="F227" s="164"/>
      <c r="G227" s="164"/>
      <c r="H227" s="257"/>
      <c r="I227" s="258"/>
      <c r="J227" s="258"/>
      <c r="K227" s="164"/>
      <c r="L227" s="11"/>
      <c r="M227" s="135"/>
      <c r="N227" s="135"/>
      <c r="O227" s="135"/>
      <c r="P227" s="135"/>
      <c r="Q227" s="135"/>
      <c r="R227" s="135"/>
      <c r="S227" s="135"/>
      <c r="T227" s="135"/>
    </row>
    <row r="228" spans="1:20" ht="16.5" hidden="1" thickBot="1">
      <c r="A228">
        <v>3</v>
      </c>
      <c r="F228" t="s">
        <v>395</v>
      </c>
      <c r="G228" s="10" t="s">
        <v>397</v>
      </c>
      <c r="H228" s="10" t="s">
        <v>398</v>
      </c>
      <c r="I228" s="133" t="s">
        <v>399</v>
      </c>
      <c r="J228" s="133" t="s">
        <v>400</v>
      </c>
      <c r="K228" s="133" t="s">
        <v>401</v>
      </c>
      <c r="L228" s="133" t="s">
        <v>402</v>
      </c>
      <c r="M228" s="133" t="s">
        <v>403</v>
      </c>
      <c r="N228" s="133" t="s">
        <v>404</v>
      </c>
      <c r="O228" s="148" t="s">
        <v>405</v>
      </c>
      <c r="P228" s="148">
        <v>1</v>
      </c>
      <c r="Q228" s="148">
        <v>2</v>
      </c>
      <c r="R228" s="148">
        <v>3</v>
      </c>
      <c r="S228" s="148">
        <v>4</v>
      </c>
      <c r="T228" s="148">
        <v>5</v>
      </c>
    </row>
    <row r="229" spans="1:20" ht="15.75" hidden="1">
      <c r="A229">
        <v>3</v>
      </c>
      <c r="E229" s="123">
        <v>0</v>
      </c>
      <c r="F229" s="420">
        <f aca="true" t="shared" si="56" ref="F229:F240">IF(puntosproljorvarios3&lt;620,T229,O229)</f>
        <v>409</v>
      </c>
      <c r="G229" s="414">
        <v>409</v>
      </c>
      <c r="H229" s="414">
        <v>99</v>
      </c>
      <c r="I229" s="414">
        <v>0</v>
      </c>
      <c r="J229" s="414">
        <v>0</v>
      </c>
      <c r="K229" s="414">
        <v>0</v>
      </c>
      <c r="L229" s="414">
        <v>0</v>
      </c>
      <c r="M229" s="414">
        <v>99</v>
      </c>
      <c r="N229" s="414">
        <v>99</v>
      </c>
      <c r="O229" s="152">
        <f aca="true" t="shared" si="57" ref="O229:O240">IF(punbasjubvarios3&gt;971,N229,M229)</f>
        <v>99</v>
      </c>
      <c r="P229" s="152">
        <f aca="true" t="shared" si="58" ref="P229:P240">IF(punbasjubvarios3&lt;972,G229,H229)</f>
        <v>409</v>
      </c>
      <c r="Q229" s="152">
        <f aca="true" t="shared" si="59" ref="Q229:Q240">IF(punbasjubvarios3&lt;1170,P229,I229)</f>
        <v>409</v>
      </c>
      <c r="R229" s="152">
        <f aca="true" t="shared" si="60" ref="R229:R240">IF(punbasjubvarios3&lt;1401,Q229,J229)</f>
        <v>409</v>
      </c>
      <c r="S229" s="152">
        <f aca="true" t="shared" si="61" ref="S229:S239">IF(punbasjubvarios3&lt;1943,R229,K229)</f>
        <v>409</v>
      </c>
      <c r="T229" s="152">
        <f aca="true" t="shared" si="62" ref="T229:T240">IF(punbasjubvarios3&lt;=2220,S229,L229)</f>
        <v>409</v>
      </c>
    </row>
    <row r="230" spans="1:20" ht="15.75" hidden="1">
      <c r="A230">
        <v>3</v>
      </c>
      <c r="E230" s="124">
        <v>0.1</v>
      </c>
      <c r="F230" s="420">
        <f t="shared" si="56"/>
        <v>431</v>
      </c>
      <c r="G230" s="414">
        <v>431</v>
      </c>
      <c r="H230" s="414">
        <v>112</v>
      </c>
      <c r="I230" s="414">
        <v>0</v>
      </c>
      <c r="J230" s="414">
        <v>0</v>
      </c>
      <c r="K230" s="414">
        <v>0</v>
      </c>
      <c r="L230" s="414">
        <v>0</v>
      </c>
      <c r="M230" s="414">
        <v>112</v>
      </c>
      <c r="N230" s="414">
        <v>112</v>
      </c>
      <c r="O230" s="152">
        <f t="shared" si="57"/>
        <v>112</v>
      </c>
      <c r="P230" s="152">
        <f t="shared" si="58"/>
        <v>431</v>
      </c>
      <c r="Q230" s="152">
        <f t="shared" si="59"/>
        <v>431</v>
      </c>
      <c r="R230" s="152">
        <f t="shared" si="60"/>
        <v>431</v>
      </c>
      <c r="S230" s="152">
        <f t="shared" si="61"/>
        <v>431</v>
      </c>
      <c r="T230" s="152">
        <f t="shared" si="62"/>
        <v>431</v>
      </c>
    </row>
    <row r="231" spans="1:20" ht="15.75" hidden="1">
      <c r="A231">
        <v>3</v>
      </c>
      <c r="E231" s="125">
        <v>0.15</v>
      </c>
      <c r="F231" s="420">
        <f t="shared" si="56"/>
        <v>555</v>
      </c>
      <c r="G231" s="414">
        <v>555</v>
      </c>
      <c r="H231" s="414">
        <v>224</v>
      </c>
      <c r="I231" s="414">
        <v>298</v>
      </c>
      <c r="J231" s="414">
        <v>240</v>
      </c>
      <c r="K231" s="414">
        <v>224</v>
      </c>
      <c r="L231" s="414">
        <v>0</v>
      </c>
      <c r="M231" s="414">
        <v>273</v>
      </c>
      <c r="N231" s="414">
        <v>273</v>
      </c>
      <c r="O231" s="152">
        <f t="shared" si="57"/>
        <v>273</v>
      </c>
      <c r="P231" s="152">
        <f t="shared" si="58"/>
        <v>555</v>
      </c>
      <c r="Q231" s="152">
        <f t="shared" si="59"/>
        <v>555</v>
      </c>
      <c r="R231" s="152">
        <f t="shared" si="60"/>
        <v>555</v>
      </c>
      <c r="S231" s="152">
        <f t="shared" si="61"/>
        <v>555</v>
      </c>
      <c r="T231" s="152">
        <f t="shared" si="62"/>
        <v>555</v>
      </c>
    </row>
    <row r="232" spans="1:20" ht="15.75" hidden="1">
      <c r="A232">
        <v>3</v>
      </c>
      <c r="E232" s="125">
        <v>0.3</v>
      </c>
      <c r="F232" s="420">
        <f t="shared" si="56"/>
        <v>623</v>
      </c>
      <c r="G232" s="414">
        <v>623</v>
      </c>
      <c r="H232" s="414">
        <v>242</v>
      </c>
      <c r="I232" s="414">
        <v>298</v>
      </c>
      <c r="J232" s="414">
        <v>240</v>
      </c>
      <c r="K232" s="414">
        <v>224</v>
      </c>
      <c r="L232" s="414">
        <v>0</v>
      </c>
      <c r="M232" s="414">
        <v>472</v>
      </c>
      <c r="N232" s="414">
        <v>435</v>
      </c>
      <c r="O232" s="152">
        <f t="shared" si="57"/>
        <v>472</v>
      </c>
      <c r="P232" s="152">
        <f t="shared" si="58"/>
        <v>623</v>
      </c>
      <c r="Q232" s="152">
        <f t="shared" si="59"/>
        <v>623</v>
      </c>
      <c r="R232" s="152">
        <f t="shared" si="60"/>
        <v>623</v>
      </c>
      <c r="S232" s="152">
        <f t="shared" si="61"/>
        <v>623</v>
      </c>
      <c r="T232" s="152">
        <f t="shared" si="62"/>
        <v>623</v>
      </c>
    </row>
    <row r="233" spans="1:20" ht="15.75" hidden="1">
      <c r="A233">
        <v>3</v>
      </c>
      <c r="E233" s="125">
        <v>0.4</v>
      </c>
      <c r="F233" s="420">
        <f t="shared" si="56"/>
        <v>646</v>
      </c>
      <c r="G233" s="414">
        <v>646</v>
      </c>
      <c r="H233" s="414">
        <v>261</v>
      </c>
      <c r="I233" s="414">
        <v>311</v>
      </c>
      <c r="J233" s="414">
        <v>248</v>
      </c>
      <c r="K233" s="414">
        <v>224</v>
      </c>
      <c r="L233" s="414">
        <v>174</v>
      </c>
      <c r="M233" s="414">
        <v>546</v>
      </c>
      <c r="N233" s="414">
        <v>497</v>
      </c>
      <c r="O233" s="152">
        <f t="shared" si="57"/>
        <v>546</v>
      </c>
      <c r="P233" s="152">
        <f t="shared" si="58"/>
        <v>646</v>
      </c>
      <c r="Q233" s="152">
        <f t="shared" si="59"/>
        <v>646</v>
      </c>
      <c r="R233" s="152">
        <f t="shared" si="60"/>
        <v>646</v>
      </c>
      <c r="S233" s="152">
        <f t="shared" si="61"/>
        <v>646</v>
      </c>
      <c r="T233" s="152">
        <f t="shared" si="62"/>
        <v>646</v>
      </c>
    </row>
    <row r="234" spans="1:20" ht="15.75" hidden="1">
      <c r="A234">
        <v>3</v>
      </c>
      <c r="E234" s="125">
        <v>0.5</v>
      </c>
      <c r="F234" s="420">
        <f t="shared" si="56"/>
        <v>565</v>
      </c>
      <c r="G234" s="414">
        <v>565</v>
      </c>
      <c r="H234" s="414">
        <v>286</v>
      </c>
      <c r="I234" s="414">
        <v>311</v>
      </c>
      <c r="J234" s="414">
        <v>248</v>
      </c>
      <c r="K234" s="414">
        <v>224</v>
      </c>
      <c r="L234" s="414">
        <v>174</v>
      </c>
      <c r="M234" s="414">
        <v>590</v>
      </c>
      <c r="N234" s="414">
        <v>540</v>
      </c>
      <c r="O234" s="152">
        <f t="shared" si="57"/>
        <v>590</v>
      </c>
      <c r="P234" s="152">
        <f t="shared" si="58"/>
        <v>565</v>
      </c>
      <c r="Q234" s="152">
        <f t="shared" si="59"/>
        <v>565</v>
      </c>
      <c r="R234" s="152">
        <f t="shared" si="60"/>
        <v>565</v>
      </c>
      <c r="S234" s="152">
        <f t="shared" si="61"/>
        <v>565</v>
      </c>
      <c r="T234" s="152">
        <f t="shared" si="62"/>
        <v>565</v>
      </c>
    </row>
    <row r="235" spans="1:20" ht="15.75" hidden="1">
      <c r="A235">
        <v>3</v>
      </c>
      <c r="E235" s="125">
        <v>0.6</v>
      </c>
      <c r="F235" s="420">
        <f t="shared" si="56"/>
        <v>578</v>
      </c>
      <c r="G235" s="414">
        <v>578</v>
      </c>
      <c r="H235" s="414">
        <v>323</v>
      </c>
      <c r="I235" s="414">
        <v>323</v>
      </c>
      <c r="J235" s="414">
        <v>252</v>
      </c>
      <c r="K235" s="414">
        <v>236</v>
      </c>
      <c r="L235" s="414">
        <v>199</v>
      </c>
      <c r="M235" s="414">
        <v>633</v>
      </c>
      <c r="N235" s="414">
        <v>559</v>
      </c>
      <c r="O235" s="152">
        <f t="shared" si="57"/>
        <v>633</v>
      </c>
      <c r="P235" s="152">
        <f t="shared" si="58"/>
        <v>578</v>
      </c>
      <c r="Q235" s="152">
        <f t="shared" si="59"/>
        <v>578</v>
      </c>
      <c r="R235" s="152">
        <f t="shared" si="60"/>
        <v>578</v>
      </c>
      <c r="S235" s="152">
        <f t="shared" si="61"/>
        <v>578</v>
      </c>
      <c r="T235" s="152">
        <f t="shared" si="62"/>
        <v>578</v>
      </c>
    </row>
    <row r="236" spans="1:20" ht="15.75" hidden="1">
      <c r="A236">
        <v>3</v>
      </c>
      <c r="E236" s="125">
        <v>0.7</v>
      </c>
      <c r="F236" s="420">
        <f t="shared" si="56"/>
        <v>553</v>
      </c>
      <c r="G236" s="414">
        <v>553</v>
      </c>
      <c r="H236" s="414">
        <v>354</v>
      </c>
      <c r="I236" s="414">
        <v>453</v>
      </c>
      <c r="J236" s="414">
        <v>286</v>
      </c>
      <c r="K236" s="414">
        <v>236</v>
      </c>
      <c r="L236" s="414">
        <v>199</v>
      </c>
      <c r="M236" s="414">
        <v>652</v>
      </c>
      <c r="N236" s="414">
        <v>578</v>
      </c>
      <c r="O236" s="152">
        <f t="shared" si="57"/>
        <v>652</v>
      </c>
      <c r="P236" s="152">
        <f t="shared" si="58"/>
        <v>553</v>
      </c>
      <c r="Q236" s="152">
        <f t="shared" si="59"/>
        <v>553</v>
      </c>
      <c r="R236" s="152">
        <f t="shared" si="60"/>
        <v>553</v>
      </c>
      <c r="S236" s="152">
        <f t="shared" si="61"/>
        <v>553</v>
      </c>
      <c r="T236" s="152">
        <f t="shared" si="62"/>
        <v>553</v>
      </c>
    </row>
    <row r="237" spans="1:20" ht="15.75" hidden="1">
      <c r="A237">
        <v>3</v>
      </c>
      <c r="E237" s="125">
        <v>0.8</v>
      </c>
      <c r="F237" s="420">
        <f t="shared" si="56"/>
        <v>664</v>
      </c>
      <c r="G237" s="414">
        <v>664</v>
      </c>
      <c r="H237" s="414">
        <v>428</v>
      </c>
      <c r="I237" s="414">
        <v>491</v>
      </c>
      <c r="J237" s="414">
        <v>422</v>
      </c>
      <c r="K237" s="414">
        <v>348</v>
      </c>
      <c r="L237" s="414">
        <v>224</v>
      </c>
      <c r="M237" s="414">
        <v>689</v>
      </c>
      <c r="N237" s="414">
        <v>590</v>
      </c>
      <c r="O237" s="152">
        <f t="shared" si="57"/>
        <v>689</v>
      </c>
      <c r="P237" s="152">
        <f t="shared" si="58"/>
        <v>664</v>
      </c>
      <c r="Q237" s="152">
        <f t="shared" si="59"/>
        <v>664</v>
      </c>
      <c r="R237" s="152">
        <f t="shared" si="60"/>
        <v>664</v>
      </c>
      <c r="S237" s="152">
        <f t="shared" si="61"/>
        <v>664</v>
      </c>
      <c r="T237" s="152">
        <f t="shared" si="62"/>
        <v>664</v>
      </c>
    </row>
    <row r="238" spans="1:20" ht="15.75" hidden="1">
      <c r="A238">
        <v>3</v>
      </c>
      <c r="E238" s="125">
        <v>1</v>
      </c>
      <c r="F238" s="420">
        <f t="shared" si="56"/>
        <v>826</v>
      </c>
      <c r="G238" s="414">
        <v>826</v>
      </c>
      <c r="H238" s="414">
        <v>540</v>
      </c>
      <c r="I238" s="414">
        <v>509</v>
      </c>
      <c r="J238" s="414">
        <v>410</v>
      </c>
      <c r="K238" s="414">
        <v>385</v>
      </c>
      <c r="L238" s="414">
        <v>224</v>
      </c>
      <c r="M238" s="414">
        <v>733</v>
      </c>
      <c r="N238" s="414">
        <v>609</v>
      </c>
      <c r="O238" s="152">
        <f t="shared" si="57"/>
        <v>733</v>
      </c>
      <c r="P238" s="152">
        <f t="shared" si="58"/>
        <v>826</v>
      </c>
      <c r="Q238" s="152">
        <f t="shared" si="59"/>
        <v>826</v>
      </c>
      <c r="R238" s="152">
        <f t="shared" si="60"/>
        <v>826</v>
      </c>
      <c r="S238" s="152">
        <f t="shared" si="61"/>
        <v>826</v>
      </c>
      <c r="T238" s="152">
        <f t="shared" si="62"/>
        <v>826</v>
      </c>
    </row>
    <row r="239" spans="1:20" ht="15.75" hidden="1">
      <c r="A239">
        <v>3</v>
      </c>
      <c r="E239" s="125">
        <v>1.1</v>
      </c>
      <c r="F239" s="420">
        <f t="shared" si="56"/>
        <v>925</v>
      </c>
      <c r="G239" s="414">
        <v>925</v>
      </c>
      <c r="H239" s="414">
        <v>615</v>
      </c>
      <c r="I239" s="414">
        <v>534</v>
      </c>
      <c r="J239" s="414">
        <v>410</v>
      </c>
      <c r="K239" s="414">
        <v>397</v>
      </c>
      <c r="L239" s="414">
        <v>236</v>
      </c>
      <c r="M239" s="414">
        <v>764</v>
      </c>
      <c r="N239" s="414">
        <v>627</v>
      </c>
      <c r="O239" s="152">
        <f t="shared" si="57"/>
        <v>764</v>
      </c>
      <c r="P239" s="152">
        <f t="shared" si="58"/>
        <v>925</v>
      </c>
      <c r="Q239" s="152">
        <f t="shared" si="59"/>
        <v>925</v>
      </c>
      <c r="R239" s="152">
        <f t="shared" si="60"/>
        <v>925</v>
      </c>
      <c r="S239" s="152">
        <f t="shared" si="61"/>
        <v>925</v>
      </c>
      <c r="T239" s="152">
        <f t="shared" si="62"/>
        <v>925</v>
      </c>
    </row>
    <row r="240" spans="1:20" ht="16.5" hidden="1" thickBot="1">
      <c r="A240">
        <v>3</v>
      </c>
      <c r="E240" s="126">
        <v>1.2</v>
      </c>
      <c r="F240" s="420">
        <f t="shared" si="56"/>
        <v>956</v>
      </c>
      <c r="G240" s="414">
        <v>956</v>
      </c>
      <c r="H240" s="414">
        <v>633</v>
      </c>
      <c r="I240" s="414">
        <v>596</v>
      </c>
      <c r="J240" s="414">
        <v>416</v>
      </c>
      <c r="K240" s="414">
        <v>410</v>
      </c>
      <c r="L240" s="414">
        <v>236</v>
      </c>
      <c r="M240" s="414">
        <v>770</v>
      </c>
      <c r="N240" s="414">
        <v>633</v>
      </c>
      <c r="O240" s="152">
        <f t="shared" si="57"/>
        <v>770</v>
      </c>
      <c r="P240" s="152">
        <f t="shared" si="58"/>
        <v>956</v>
      </c>
      <c r="Q240" s="152">
        <f t="shared" si="59"/>
        <v>956</v>
      </c>
      <c r="R240" s="152">
        <f t="shared" si="60"/>
        <v>956</v>
      </c>
      <c r="S240" s="152">
        <f>IF(punbasjubvarios1&lt;1943,R240,K240)</f>
        <v>956</v>
      </c>
      <c r="T240" s="152">
        <f t="shared" si="62"/>
        <v>956</v>
      </c>
    </row>
    <row r="241" spans="1:20" s="255" customFormat="1" ht="15.75" hidden="1">
      <c r="A241">
        <v>3</v>
      </c>
      <c r="E241" s="256"/>
      <c r="F241" s="164"/>
      <c r="G241" s="164"/>
      <c r="H241" s="257"/>
      <c r="I241" s="258"/>
      <c r="J241" s="258"/>
      <c r="K241" s="164"/>
      <c r="L241" s="11"/>
      <c r="M241" s="135"/>
      <c r="N241" s="135"/>
      <c r="O241" s="135"/>
      <c r="P241" s="135"/>
      <c r="Q241" s="135"/>
      <c r="R241" s="135"/>
      <c r="S241" s="135"/>
      <c r="T241" s="135"/>
    </row>
    <row r="242" spans="1:20" s="255" customFormat="1" ht="15.75" hidden="1">
      <c r="A242">
        <v>3</v>
      </c>
      <c r="E242" s="256"/>
      <c r="F242" s="164" t="s">
        <v>445</v>
      </c>
      <c r="G242" s="164">
        <f>LOOKUP(F258,porantvar3,cod06cargosvar3jul10)</f>
        <v>956</v>
      </c>
      <c r="H242" s="257"/>
      <c r="I242" s="258"/>
      <c r="J242" s="258"/>
      <c r="K242" s="164"/>
      <c r="L242" s="11"/>
      <c r="M242" s="135"/>
      <c r="N242" s="135"/>
      <c r="O242" s="135"/>
      <c r="P242" s="135"/>
      <c r="Q242" s="135"/>
      <c r="R242" s="135"/>
      <c r="S242" s="135"/>
      <c r="T242" s="135"/>
    </row>
    <row r="243" spans="1:20" s="255" customFormat="1" ht="15.75" hidden="1">
      <c r="A243"/>
      <c r="E243" s="256"/>
      <c r="F243" s="164"/>
      <c r="G243" s="164"/>
      <c r="H243" s="257"/>
      <c r="I243" s="258"/>
      <c r="J243" s="258"/>
      <c r="K243" s="164"/>
      <c r="L243" s="11"/>
      <c r="M243" s="135"/>
      <c r="N243" s="135"/>
      <c r="O243" s="135"/>
      <c r="P243" s="135"/>
      <c r="Q243" s="135"/>
      <c r="R243" s="135"/>
      <c r="S243" s="135"/>
      <c r="T243" s="135"/>
    </row>
    <row r="244" s="260" customFormat="1" ht="12.75" hidden="1">
      <c r="A244">
        <v>3</v>
      </c>
    </row>
    <row r="245" ht="12.75" hidden="1">
      <c r="A245">
        <v>3</v>
      </c>
    </row>
    <row r="246" spans="1:15" ht="12.75">
      <c r="A246" s="283">
        <v>3</v>
      </c>
      <c r="B246" s="283"/>
      <c r="C246" s="283"/>
      <c r="D246" s="283"/>
      <c r="E246" s="283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</row>
    <row r="247" spans="1:17" ht="20.25">
      <c r="A247" s="283">
        <v>3</v>
      </c>
      <c r="B247" s="189"/>
      <c r="C247" s="59"/>
      <c r="D247" s="59"/>
      <c r="E247" s="80" t="s">
        <v>389</v>
      </c>
      <c r="F247" s="10"/>
      <c r="G247" s="10"/>
      <c r="H247" s="59"/>
      <c r="I247" s="59"/>
      <c r="J247" s="59"/>
      <c r="K247" s="59"/>
      <c r="L247" s="59"/>
      <c r="M247" s="59"/>
      <c r="N247" s="188"/>
      <c r="O247" s="291"/>
      <c r="P247" s="164"/>
      <c r="Q247" s="164"/>
    </row>
    <row r="248" spans="1:17" ht="12.75">
      <c r="A248" s="283">
        <v>3</v>
      </c>
      <c r="B248" s="189"/>
      <c r="C248" s="189"/>
      <c r="D248" s="189"/>
      <c r="E248" s="189"/>
      <c r="F248" s="189"/>
      <c r="G248" s="189"/>
      <c r="H248" s="285"/>
      <c r="I248" s="189"/>
      <c r="J248" s="189"/>
      <c r="K248" s="189"/>
      <c r="L248" s="189"/>
      <c r="M248" s="189"/>
      <c r="N248" s="188"/>
      <c r="O248" s="291"/>
      <c r="P248" s="164"/>
      <c r="Q248" s="164"/>
    </row>
    <row r="249" spans="1:17" ht="12.75">
      <c r="A249" s="283">
        <v>3</v>
      </c>
      <c r="B249" s="283"/>
      <c r="C249" s="283"/>
      <c r="D249" s="44" t="s">
        <v>37</v>
      </c>
      <c r="E249" s="44" t="s">
        <v>341</v>
      </c>
      <c r="F249" s="44" t="s">
        <v>342</v>
      </c>
      <c r="G249" s="44" t="s">
        <v>343</v>
      </c>
      <c r="H249" s="44" t="s">
        <v>344</v>
      </c>
      <c r="I249" s="100" t="s">
        <v>406</v>
      </c>
      <c r="J249" s="189"/>
      <c r="K249" s="189"/>
      <c r="L249" s="189"/>
      <c r="M249" s="189"/>
      <c r="N249" s="188"/>
      <c r="O249" s="291"/>
      <c r="P249" s="164"/>
      <c r="Q249" s="164"/>
    </row>
    <row r="250" spans="1:17" ht="16.5" thickBot="1">
      <c r="A250" s="283">
        <v>3</v>
      </c>
      <c r="B250" s="283"/>
      <c r="C250" s="283"/>
      <c r="D250" s="117">
        <v>749</v>
      </c>
      <c r="E250" s="81">
        <f>LOOKUP(D250,[0]!numerocargo,[0]!puntosbasicoscargo)</f>
        <v>971</v>
      </c>
      <c r="F250" s="81">
        <f>LOOKUP(D250,[0]!numerocargo,[0]!tardifcargo)</f>
        <v>0</v>
      </c>
      <c r="G250" s="81">
        <f>LOOKUP(D250,[0]!numerocargo,[0]!proljorcargo)</f>
        <v>0</v>
      </c>
      <c r="H250" s="81">
        <f>LOOKUP(D250,[0]!numerocargo,[0]!jorcomcargo)</f>
        <v>0</v>
      </c>
      <c r="I250" s="44">
        <f>LOOKUP(D250,Cargos!A3:A314,puntoscompbasico)</f>
        <v>170</v>
      </c>
      <c r="J250" s="189"/>
      <c r="K250" s="189"/>
      <c r="L250" s="189"/>
      <c r="M250" s="189"/>
      <c r="N250" s="188"/>
      <c r="O250" s="291"/>
      <c r="P250" s="164"/>
      <c r="Q250" s="164"/>
    </row>
    <row r="251" spans="1:17" ht="13.5" thickBot="1">
      <c r="A251" s="283">
        <v>3</v>
      </c>
      <c r="B251" s="283"/>
      <c r="C251" s="283"/>
      <c r="D251" s="82" t="s">
        <v>38</v>
      </c>
      <c r="E251" s="83" t="str">
        <f>LOOKUP(D250,[0]!numerocargo,[0]!nombrecargo)</f>
        <v> MAESTRO DE GRADO</v>
      </c>
      <c r="F251" s="42"/>
      <c r="G251" s="42"/>
      <c r="H251" s="62"/>
      <c r="I251" s="189"/>
      <c r="J251" s="189"/>
      <c r="K251" s="189"/>
      <c r="L251" s="189"/>
      <c r="M251" s="189"/>
      <c r="N251" s="188"/>
      <c r="O251" s="291"/>
      <c r="P251" s="164"/>
      <c r="Q251" s="164"/>
    </row>
    <row r="252" spans="1:17" ht="13.5" thickBot="1">
      <c r="A252" s="283">
        <v>3</v>
      </c>
      <c r="B252" s="283"/>
      <c r="C252" s="283"/>
      <c r="D252" s="284"/>
      <c r="E252" s="285"/>
      <c r="F252" s="189"/>
      <c r="G252" s="189"/>
      <c r="H252" s="189"/>
      <c r="I252" s="128" t="s">
        <v>364</v>
      </c>
      <c r="J252" s="293"/>
      <c r="K252" s="293"/>
      <c r="L252" s="293"/>
      <c r="M252" s="189"/>
      <c r="N252" s="189"/>
      <c r="O252" s="189"/>
      <c r="P252" s="10"/>
      <c r="Q252" s="10"/>
    </row>
    <row r="253" spans="1:17" ht="19.5" thickBot="1" thickTop="1">
      <c r="A253" s="283">
        <v>3</v>
      </c>
      <c r="B253" s="283"/>
      <c r="C253" s="283"/>
      <c r="D253" s="165" t="s">
        <v>358</v>
      </c>
      <c r="E253" s="122"/>
      <c r="F253" s="122"/>
      <c r="G253" s="122"/>
      <c r="H253" s="166">
        <v>0</v>
      </c>
      <c r="I253" s="129">
        <f>H253/120</f>
        <v>0</v>
      </c>
      <c r="J253" s="285"/>
      <c r="K253" s="285"/>
      <c r="L253" s="285"/>
      <c r="M253" s="189"/>
      <c r="N253" s="189"/>
      <c r="O253" s="189"/>
      <c r="P253" s="10"/>
      <c r="Q253" s="10"/>
    </row>
    <row r="254" spans="1:17" ht="17.25" thickBot="1" thickTop="1">
      <c r="A254" s="283">
        <v>3</v>
      </c>
      <c r="B254" s="284"/>
      <c r="C254" s="285"/>
      <c r="D254" s="189"/>
      <c r="E254" s="189"/>
      <c r="F254" s="369"/>
      <c r="G254" s="189"/>
      <c r="H254" s="285"/>
      <c r="I254" s="189"/>
      <c r="J254" s="189"/>
      <c r="K254" s="189"/>
      <c r="L254" s="189"/>
      <c r="M254" s="189"/>
      <c r="N254" s="189"/>
      <c r="O254" s="189"/>
      <c r="P254" s="10"/>
      <c r="Q254" s="10"/>
    </row>
    <row r="255" spans="1:17" ht="17.25" thickBot="1" thickTop="1">
      <c r="A255" s="283">
        <v>3</v>
      </c>
      <c r="B255" s="284"/>
      <c r="C255" s="283"/>
      <c r="D255" s="120" t="s">
        <v>366</v>
      </c>
      <c r="E255" s="132">
        <v>0</v>
      </c>
      <c r="F255" s="369"/>
      <c r="G255" s="189"/>
      <c r="H255" s="285"/>
      <c r="I255" s="189"/>
      <c r="J255" s="189"/>
      <c r="K255" s="189"/>
      <c r="L255" s="189"/>
      <c r="M255" s="189"/>
      <c r="N255" s="189"/>
      <c r="O255" s="189"/>
      <c r="P255" s="10"/>
      <c r="Q255" s="10"/>
    </row>
    <row r="256" spans="1:17" ht="14.25" thickBot="1" thickTop="1">
      <c r="A256" s="283">
        <v>3</v>
      </c>
      <c r="B256" s="284"/>
      <c r="C256" s="285"/>
      <c r="D256" s="189"/>
      <c r="E256" s="189"/>
      <c r="F256" s="189"/>
      <c r="G256" s="189"/>
      <c r="H256" s="285"/>
      <c r="I256" s="189"/>
      <c r="J256" s="189"/>
      <c r="K256" s="189"/>
      <c r="L256" s="189"/>
      <c r="M256" s="189"/>
      <c r="N256" s="189"/>
      <c r="O256" s="189"/>
      <c r="P256" s="10"/>
      <c r="Q256" s="10"/>
    </row>
    <row r="257" spans="1:17" ht="16.5" thickBot="1">
      <c r="A257" s="283">
        <v>3</v>
      </c>
      <c r="B257" s="189"/>
      <c r="C257" s="59"/>
      <c r="D257" s="84" t="s">
        <v>13</v>
      </c>
      <c r="E257" s="42"/>
      <c r="F257" s="85">
        <f>E250*indicefeb09</f>
        <v>725.337</v>
      </c>
      <c r="G257" s="59"/>
      <c r="H257" s="59"/>
      <c r="I257" s="59"/>
      <c r="J257" s="59"/>
      <c r="K257" s="59"/>
      <c r="L257" s="59"/>
      <c r="M257" s="190"/>
      <c r="N257" s="190"/>
      <c r="O257" s="59"/>
      <c r="P257" s="10"/>
      <c r="Q257" s="10"/>
    </row>
    <row r="258" spans="1:17" ht="16.5" thickBot="1">
      <c r="A258" s="283">
        <v>3</v>
      </c>
      <c r="B258" s="189"/>
      <c r="C258" s="59"/>
      <c r="D258" s="84" t="s">
        <v>14</v>
      </c>
      <c r="E258" s="42"/>
      <c r="F258" s="119">
        <v>1.2</v>
      </c>
      <c r="G258" s="10" t="s">
        <v>15</v>
      </c>
      <c r="H258" s="10"/>
      <c r="I258" s="59"/>
      <c r="J258" s="59"/>
      <c r="K258" s="59"/>
      <c r="L258" s="59"/>
      <c r="M258" s="59"/>
      <c r="N258" s="190"/>
      <c r="O258" s="59"/>
      <c r="P258" s="10"/>
      <c r="Q258" s="10"/>
    </row>
    <row r="259" spans="1:17" ht="15.75">
      <c r="A259" s="283">
        <v>3</v>
      </c>
      <c r="B259" s="189"/>
      <c r="C259" s="59"/>
      <c r="D259" s="189"/>
      <c r="E259" s="189"/>
      <c r="F259" s="191"/>
      <c r="G259" s="59"/>
      <c r="H259" s="59"/>
      <c r="I259" s="59"/>
      <c r="J259" s="59"/>
      <c r="K259" s="59"/>
      <c r="L259" s="59"/>
      <c r="M259" s="59"/>
      <c r="N259" s="192"/>
      <c r="O259" s="59"/>
      <c r="P259" s="10"/>
      <c r="Q259" s="10"/>
    </row>
    <row r="260" spans="1:17" ht="18.75" thickBot="1">
      <c r="A260" s="283">
        <v>3</v>
      </c>
      <c r="B260" s="189"/>
      <c r="C260" s="59"/>
      <c r="D260" s="87" t="s">
        <v>16</v>
      </c>
      <c r="E260" s="87"/>
      <c r="F260" s="88">
        <f>E250</f>
        <v>971</v>
      </c>
      <c r="G260" s="10" t="s">
        <v>17</v>
      </c>
      <c r="H260" s="59"/>
      <c r="I260" s="86">
        <f>H250+G250</f>
        <v>0</v>
      </c>
      <c r="J260" s="190"/>
      <c r="K260" s="190"/>
      <c r="L260" s="190"/>
      <c r="M260" s="189"/>
      <c r="N260" s="59"/>
      <c r="O260" s="59"/>
      <c r="P260" s="10"/>
      <c r="Q260" s="10"/>
    </row>
    <row r="261" spans="1:17" ht="15.75">
      <c r="A261" s="283">
        <v>3</v>
      </c>
      <c r="B261" s="189"/>
      <c r="C261" s="59"/>
      <c r="D261" s="189"/>
      <c r="E261" s="189"/>
      <c r="F261" s="191"/>
      <c r="G261" s="59"/>
      <c r="H261" s="59"/>
      <c r="I261" s="189"/>
      <c r="J261" s="189"/>
      <c r="K261" s="189"/>
      <c r="L261" s="189"/>
      <c r="M261" s="370"/>
      <c r="N261" s="59"/>
      <c r="O261" s="59"/>
      <c r="P261" s="10"/>
      <c r="Q261" s="10"/>
    </row>
    <row r="262" spans="1:15" ht="15.75">
      <c r="A262" s="283">
        <v>3</v>
      </c>
      <c r="B262" s="189"/>
      <c r="C262" s="59"/>
      <c r="D262" s="10"/>
      <c r="E262" s="157" t="s">
        <v>428</v>
      </c>
      <c r="F262" s="10"/>
      <c r="G262" s="283"/>
      <c r="H262" s="10"/>
      <c r="I262" s="157" t="s">
        <v>448</v>
      </c>
      <c r="J262" s="10"/>
      <c r="K262" s="283"/>
      <c r="L262" s="10"/>
      <c r="M262" s="157" t="s">
        <v>449</v>
      </c>
      <c r="N262" s="10"/>
      <c r="O262" s="283"/>
    </row>
    <row r="263" spans="1:15" ht="12.75">
      <c r="A263" s="283">
        <v>3</v>
      </c>
      <c r="B263" s="189"/>
      <c r="C263" s="283"/>
      <c r="D263" s="17">
        <v>400</v>
      </c>
      <c r="E263" s="17" t="s">
        <v>18</v>
      </c>
      <c r="F263" s="89">
        <f>punbasjubvarios3*indicefeb09*porjubvarcar*frac3</f>
        <v>0</v>
      </c>
      <c r="G263" s="283"/>
      <c r="H263" s="17">
        <v>400</v>
      </c>
      <c r="I263" s="17" t="s">
        <v>18</v>
      </c>
      <c r="J263" s="89">
        <f>punbasjubvarios3*indicemar2010*porjubvarcar*frac3</f>
        <v>0</v>
      </c>
      <c r="K263" s="283"/>
      <c r="L263" s="17">
        <v>400</v>
      </c>
      <c r="M263" s="17" t="s">
        <v>18</v>
      </c>
      <c r="N263" s="89">
        <f>punbasjubvarios3*indicejul2010*porjubvarcar*frac3</f>
        <v>0</v>
      </c>
      <c r="O263" s="283"/>
    </row>
    <row r="264" spans="1:15" ht="12.75" hidden="1">
      <c r="A264" s="283">
        <v>3</v>
      </c>
      <c r="B264" s="189"/>
      <c r="C264" s="283"/>
      <c r="D264" s="17">
        <v>542</v>
      </c>
      <c r="E264" s="17" t="s">
        <v>418</v>
      </c>
      <c r="F264" s="241">
        <f>compbasicovarios3*indicefeb09*porjubvarcar*frac3</f>
        <v>0</v>
      </c>
      <c r="G264" s="283"/>
      <c r="H264" s="17">
        <v>542</v>
      </c>
      <c r="I264" s="17" t="s">
        <v>418</v>
      </c>
      <c r="J264" s="241">
        <f>compbasicovarios3*indicemar2010*porjubvarcar*frac3</f>
        <v>0</v>
      </c>
      <c r="K264" s="283"/>
      <c r="L264" s="17">
        <v>542</v>
      </c>
      <c r="M264" s="17" t="s">
        <v>418</v>
      </c>
      <c r="N264" s="241">
        <f>compbasicovarios3*indicejul2010*porjubvarcar*frac3</f>
        <v>0</v>
      </c>
      <c r="O264" s="283"/>
    </row>
    <row r="265" spans="1:14" ht="12.75" hidden="1">
      <c r="A265" s="283">
        <v>3</v>
      </c>
      <c r="B265" s="189"/>
      <c r="C265" s="283"/>
      <c r="D265" s="17">
        <v>404</v>
      </c>
      <c r="E265" s="17" t="s">
        <v>346</v>
      </c>
      <c r="F265" s="89">
        <f>puntardifvar3*indicefeb09*porjubvarcar*frac3</f>
        <v>0</v>
      </c>
      <c r="G265" s="283"/>
      <c r="H265" s="17">
        <v>404</v>
      </c>
      <c r="I265" s="17" t="s">
        <v>346</v>
      </c>
      <c r="J265" s="89">
        <f>puntardifvar3*indicemar2010*porjubvarcar*frac3</f>
        <v>0</v>
      </c>
      <c r="L265" s="17">
        <v>404</v>
      </c>
      <c r="M265" s="17" t="s">
        <v>346</v>
      </c>
      <c r="N265" s="89">
        <f>puntardifvar3*indicejul2010*porjubvarcar*frac3</f>
        <v>0</v>
      </c>
    </row>
    <row r="266" spans="1:14" ht="12.75" hidden="1">
      <c r="A266" s="283">
        <v>3</v>
      </c>
      <c r="B266" s="189"/>
      <c r="C266" s="283"/>
      <c r="D266" s="17">
        <v>406</v>
      </c>
      <c r="E266" s="17" t="s">
        <v>19</v>
      </c>
      <c r="F266" s="89">
        <f>(F263+F264+F265+F268)*F258</f>
        <v>0</v>
      </c>
      <c r="G266" s="283"/>
      <c r="H266" s="17">
        <v>406</v>
      </c>
      <c r="I266" s="17" t="s">
        <v>19</v>
      </c>
      <c r="J266" s="89">
        <f>(J263+J264+J265+J268)*F258</f>
        <v>0</v>
      </c>
      <c r="L266" s="17">
        <v>406</v>
      </c>
      <c r="M266" s="17" t="s">
        <v>19</v>
      </c>
      <c r="N266" s="89">
        <f>(N263+N264+N265+N268)*F258</f>
        <v>0</v>
      </c>
    </row>
    <row r="267" spans="1:14" ht="12.75" hidden="1">
      <c r="A267" s="283">
        <v>3</v>
      </c>
      <c r="B267" s="189"/>
      <c r="C267" s="283"/>
      <c r="D267" s="17">
        <v>408</v>
      </c>
      <c r="E267" s="17" t="s">
        <v>365</v>
      </c>
      <c r="F267" s="89">
        <f>(F263+F264+F265+F268)*E255</f>
        <v>0</v>
      </c>
      <c r="G267" s="283"/>
      <c r="H267" s="17">
        <v>408</v>
      </c>
      <c r="I267" s="17" t="s">
        <v>365</v>
      </c>
      <c r="J267" s="89">
        <f>(J263+J264+J265+J268)*E255</f>
        <v>0</v>
      </c>
      <c r="L267" s="17">
        <v>408</v>
      </c>
      <c r="M267" s="17" t="s">
        <v>365</v>
      </c>
      <c r="N267" s="89">
        <f>(N263+N264+N265+N268)*E255</f>
        <v>0</v>
      </c>
    </row>
    <row r="268" spans="1:14" ht="12.75" hidden="1">
      <c r="A268" s="283">
        <v>3</v>
      </c>
      <c r="B268" s="189"/>
      <c r="C268" s="283"/>
      <c r="D268" s="17">
        <v>416</v>
      </c>
      <c r="E268" s="90" t="s">
        <v>347</v>
      </c>
      <c r="F268" s="89">
        <f>puntosproljorvarios3*proljorfeb09*porjubvarcar*frac3</f>
        <v>0</v>
      </c>
      <c r="G268" s="283"/>
      <c r="H268" s="17">
        <v>416</v>
      </c>
      <c r="I268" s="90" t="s">
        <v>347</v>
      </c>
      <c r="J268" s="89">
        <f>puntosproljorvarios3*proljormar2010*porjubvarcar*frac3</f>
        <v>0</v>
      </c>
      <c r="L268" s="17">
        <v>416</v>
      </c>
      <c r="M268" s="90" t="s">
        <v>347</v>
      </c>
      <c r="N268" s="89">
        <f>puntosproljorvarios3*proljorjul2010*porjubvarcar*frac3</f>
        <v>0</v>
      </c>
    </row>
    <row r="269" spans="1:14" ht="12.75" hidden="1">
      <c r="A269" s="283">
        <v>3</v>
      </c>
      <c r="B269" s="189"/>
      <c r="C269" s="283"/>
      <c r="D269" s="17">
        <v>432</v>
      </c>
      <c r="E269" s="17" t="s">
        <v>363</v>
      </c>
      <c r="F269" s="89">
        <f>cod06mar09varios3*porjubvarcar*frac3</f>
        <v>0</v>
      </c>
      <c r="G269" s="283"/>
      <c r="H269" s="17">
        <v>432</v>
      </c>
      <c r="I269" s="17" t="s">
        <v>363</v>
      </c>
      <c r="J269" s="89">
        <f>cod06mar10varios3*porjubvarcar*frac3</f>
        <v>0</v>
      </c>
      <c r="L269" s="17">
        <v>432</v>
      </c>
      <c r="M269" s="17" t="s">
        <v>363</v>
      </c>
      <c r="N269" s="89">
        <f>cod06jul10varios3*porjubvarcar*frac3</f>
        <v>0</v>
      </c>
    </row>
    <row r="270" spans="1:14" ht="12.75" hidden="1">
      <c r="A270" s="283">
        <v>3</v>
      </c>
      <c r="B270" s="189"/>
      <c r="C270" s="283"/>
      <c r="D270" s="17">
        <v>434</v>
      </c>
      <c r="E270" s="17" t="s">
        <v>345</v>
      </c>
      <c r="F270" s="89">
        <f>(F263+F264+F265+F266+F268+F269+F267)*0.07*0.95</f>
        <v>0</v>
      </c>
      <c r="G270" s="283"/>
      <c r="H270" s="17">
        <v>434</v>
      </c>
      <c r="I270" s="17" t="s">
        <v>345</v>
      </c>
      <c r="J270" s="89">
        <f>(J263+J264+J265+J266+J268+J269+J267)*0.07*0.95</f>
        <v>0</v>
      </c>
      <c r="L270" s="17">
        <v>434</v>
      </c>
      <c r="M270" s="17" t="s">
        <v>345</v>
      </c>
      <c r="N270" s="89">
        <f>(N263+N264+N265+N266+N268+N269+N267)*0.07*0.95</f>
        <v>0</v>
      </c>
    </row>
    <row r="271" spans="1:14" ht="12.75" hidden="1">
      <c r="A271" s="283">
        <v>3</v>
      </c>
      <c r="B271" s="189"/>
      <c r="C271" s="283"/>
      <c r="D271" s="17"/>
      <c r="E271" s="91"/>
      <c r="F271" s="171"/>
      <c r="G271" s="283"/>
      <c r="H271" s="17"/>
      <c r="I271" s="91"/>
      <c r="J271" s="171"/>
      <c r="L271" s="17"/>
      <c r="M271" s="91"/>
      <c r="N271" s="171"/>
    </row>
    <row r="272" spans="1:14" ht="13.5" hidden="1" thickBot="1">
      <c r="A272" s="283">
        <v>3</v>
      </c>
      <c r="B272" s="189"/>
      <c r="C272" s="283"/>
      <c r="D272" s="17"/>
      <c r="E272" s="91" t="s">
        <v>361</v>
      </c>
      <c r="F272" s="118">
        <v>0</v>
      </c>
      <c r="G272" s="283"/>
      <c r="H272" s="17"/>
      <c r="I272" s="91" t="s">
        <v>361</v>
      </c>
      <c r="J272" s="118">
        <v>0</v>
      </c>
      <c r="L272" s="17"/>
      <c r="M272" s="91" t="s">
        <v>361</v>
      </c>
      <c r="N272" s="118">
        <v>0</v>
      </c>
    </row>
    <row r="273" spans="1:14" ht="16.5" hidden="1" thickBot="1">
      <c r="A273" s="283">
        <v>3</v>
      </c>
      <c r="B273" s="189"/>
      <c r="C273" s="283"/>
      <c r="D273" s="92"/>
      <c r="E273" s="93" t="s">
        <v>20</v>
      </c>
      <c r="F273" s="94">
        <f>SUM(F263:F272)</f>
        <v>0</v>
      </c>
      <c r="G273" s="283"/>
      <c r="H273" s="92"/>
      <c r="I273" s="93" t="s">
        <v>20</v>
      </c>
      <c r="J273" s="94">
        <f>SUM(J263:J272)</f>
        <v>0</v>
      </c>
      <c r="L273" s="92"/>
      <c r="M273" s="93" t="s">
        <v>20</v>
      </c>
      <c r="N273" s="94">
        <f>SUM(N263:N272)</f>
        <v>0</v>
      </c>
    </row>
    <row r="274" spans="1:14" ht="12.75" hidden="1">
      <c r="A274" s="283">
        <v>3</v>
      </c>
      <c r="B274" s="189"/>
      <c r="C274" s="283"/>
      <c r="D274" s="17">
        <v>703</v>
      </c>
      <c r="E274" s="95" t="s">
        <v>348</v>
      </c>
      <c r="F274" s="96">
        <f>(F273-F272)*0.0025</f>
        <v>0</v>
      </c>
      <c r="G274" s="283"/>
      <c r="H274" s="17">
        <v>703</v>
      </c>
      <c r="I274" s="95" t="s">
        <v>348</v>
      </c>
      <c r="J274" s="96">
        <f>(J273-J272)*0.0025</f>
        <v>0</v>
      </c>
      <c r="L274" s="17">
        <v>703</v>
      </c>
      <c r="M274" s="95" t="s">
        <v>348</v>
      </c>
      <c r="N274" s="96">
        <f>(N273-N272)*0.0025</f>
        <v>0</v>
      </c>
    </row>
    <row r="275" spans="1:14" ht="12.75" hidden="1">
      <c r="A275" s="283">
        <v>3</v>
      </c>
      <c r="B275" s="189"/>
      <c r="C275" s="283"/>
      <c r="D275" s="18">
        <v>707</v>
      </c>
      <c r="E275" s="97" t="s">
        <v>22</v>
      </c>
      <c r="F275" s="16">
        <f>(F273-F272)*0.03</f>
        <v>0</v>
      </c>
      <c r="G275" s="283"/>
      <c r="H275" s="18">
        <v>707</v>
      </c>
      <c r="I275" s="97" t="s">
        <v>22</v>
      </c>
      <c r="J275" s="16">
        <f>(J273-J272)*0.03</f>
        <v>0</v>
      </c>
      <c r="L275" s="18">
        <v>707</v>
      </c>
      <c r="M275" s="97" t="s">
        <v>22</v>
      </c>
      <c r="N275" s="16">
        <f>(N273-N272)*0.03</f>
        <v>0</v>
      </c>
    </row>
    <row r="276" spans="1:14" ht="12.75" hidden="1">
      <c r="A276" s="283">
        <v>3</v>
      </c>
      <c r="B276" s="189"/>
      <c r="C276" s="283"/>
      <c r="D276" s="18">
        <v>709</v>
      </c>
      <c r="E276" s="97" t="s">
        <v>23</v>
      </c>
      <c r="F276" s="16">
        <f>(F273-F272)*0.0213</f>
        <v>0</v>
      </c>
      <c r="G276" s="283"/>
      <c r="H276" s="18">
        <v>709</v>
      </c>
      <c r="I276" s="97" t="s">
        <v>23</v>
      </c>
      <c r="J276" s="16">
        <f>(J273-J272)*0.0213</f>
        <v>0</v>
      </c>
      <c r="L276" s="18">
        <v>709</v>
      </c>
      <c r="M276" s="97" t="s">
        <v>23</v>
      </c>
      <c r="N276" s="16">
        <f>(N273-N272)*0.0213</f>
        <v>0</v>
      </c>
    </row>
    <row r="277" spans="1:14" ht="12.75" hidden="1">
      <c r="A277" s="283">
        <v>3</v>
      </c>
      <c r="B277" s="189"/>
      <c r="C277" s="283"/>
      <c r="D277" s="15">
        <v>710</v>
      </c>
      <c r="E277" s="97" t="s">
        <v>24</v>
      </c>
      <c r="F277" s="16">
        <f>(F273-F272)*0.00754</f>
        <v>0</v>
      </c>
      <c r="G277" s="283"/>
      <c r="H277" s="15">
        <v>710</v>
      </c>
      <c r="I277" s="97" t="s">
        <v>24</v>
      </c>
      <c r="J277" s="16">
        <f>(J273-J272)*0.00754</f>
        <v>0</v>
      </c>
      <c r="L277" s="15">
        <v>710</v>
      </c>
      <c r="M277" s="97" t="s">
        <v>24</v>
      </c>
      <c r="N277" s="16">
        <f>(N273-N272)*0.00754</f>
        <v>0</v>
      </c>
    </row>
    <row r="278" spans="1:14" ht="12.75" hidden="1">
      <c r="A278" s="283">
        <v>3</v>
      </c>
      <c r="B278" s="189"/>
      <c r="C278" s="283"/>
      <c r="D278" s="15">
        <v>713</v>
      </c>
      <c r="E278" s="97" t="s">
        <v>25</v>
      </c>
      <c r="F278" s="16">
        <f>(F273-F272)*0.007</f>
        <v>0</v>
      </c>
      <c r="G278" s="283"/>
      <c r="H278" s="15">
        <v>713</v>
      </c>
      <c r="I278" s="97" t="s">
        <v>25</v>
      </c>
      <c r="J278" s="16">
        <f>(J273-J272)*0.007</f>
        <v>0</v>
      </c>
      <c r="L278" s="15">
        <v>713</v>
      </c>
      <c r="M278" s="97" t="s">
        <v>25</v>
      </c>
      <c r="N278" s="16">
        <f>(N273-N272)*0.007</f>
        <v>0</v>
      </c>
    </row>
    <row r="279" spans="1:14" ht="13.5" hidden="1" thickBot="1">
      <c r="A279" s="283">
        <v>3</v>
      </c>
      <c r="B279" s="189"/>
      <c r="C279" s="283"/>
      <c r="D279" s="15"/>
      <c r="E279" s="98" t="s">
        <v>26</v>
      </c>
      <c r="F279" s="48">
        <v>0</v>
      </c>
      <c r="G279" s="283"/>
      <c r="H279" s="15"/>
      <c r="I279" s="98" t="s">
        <v>26</v>
      </c>
      <c r="J279" s="48">
        <v>0</v>
      </c>
      <c r="L279" s="15"/>
      <c r="M279" s="98" t="s">
        <v>26</v>
      </c>
      <c r="N279" s="48">
        <v>0</v>
      </c>
    </row>
    <row r="280" spans="1:14" ht="16.5" hidden="1" thickBot="1">
      <c r="A280" s="283">
        <v>3</v>
      </c>
      <c r="B280" s="189"/>
      <c r="C280" s="283"/>
      <c r="D280" s="99"/>
      <c r="E280" s="93" t="s">
        <v>27</v>
      </c>
      <c r="F280" s="94">
        <f>SUM(F274:F279)</f>
        <v>0</v>
      </c>
      <c r="G280" s="283"/>
      <c r="H280" s="99"/>
      <c r="I280" s="93" t="s">
        <v>27</v>
      </c>
      <c r="J280" s="94">
        <f>SUM(J274:J279)</f>
        <v>0</v>
      </c>
      <c r="L280" s="99"/>
      <c r="M280" s="93" t="s">
        <v>27</v>
      </c>
      <c r="N280" s="94">
        <f>SUM(N274:N279)</f>
        <v>0</v>
      </c>
    </row>
    <row r="281" spans="1:14" ht="13.5" hidden="1" thickBot="1">
      <c r="A281" s="283">
        <v>3</v>
      </c>
      <c r="B281" s="189"/>
      <c r="C281" s="283"/>
      <c r="D281" s="100"/>
      <c r="E281" s="101"/>
      <c r="F281" s="102"/>
      <c r="G281" s="283"/>
      <c r="H281" s="100"/>
      <c r="I281" s="101"/>
      <c r="J281" s="102"/>
      <c r="L281" s="100"/>
      <c r="M281" s="101"/>
      <c r="N281" s="102"/>
    </row>
    <row r="282" spans="1:14" ht="16.5" hidden="1" thickBot="1">
      <c r="A282" s="283">
        <v>3</v>
      </c>
      <c r="B282" s="59"/>
      <c r="C282" s="283"/>
      <c r="D282" s="103"/>
      <c r="E282" s="104" t="s">
        <v>28</v>
      </c>
      <c r="F282" s="105">
        <f>F273-F280</f>
        <v>0</v>
      </c>
      <c r="G282" s="283"/>
      <c r="H282" s="103"/>
      <c r="I282" s="104" t="s">
        <v>28</v>
      </c>
      <c r="J282" s="105">
        <f>J273-J280</f>
        <v>0</v>
      </c>
      <c r="L282" s="103"/>
      <c r="M282" s="104" t="s">
        <v>28</v>
      </c>
      <c r="N282" s="105">
        <f>N273-N280</f>
        <v>0</v>
      </c>
    </row>
    <row r="283" spans="1:7" s="260" customFormat="1" ht="12.75" hidden="1">
      <c r="A283" s="283">
        <v>3</v>
      </c>
      <c r="B283" s="189"/>
      <c r="C283" s="286"/>
      <c r="G283" s="292"/>
    </row>
    <row r="284" spans="1:17" ht="15.75" hidden="1">
      <c r="A284" s="283">
        <v>3</v>
      </c>
      <c r="B284" s="59"/>
      <c r="C284" s="59"/>
      <c r="D284" s="4"/>
      <c r="E284" s="205"/>
      <c r="F284" s="208"/>
      <c r="G284" s="10"/>
      <c r="H284" s="4"/>
      <c r="I284" s="205"/>
      <c r="J284" s="208"/>
      <c r="L284" s="4"/>
      <c r="M284" s="205"/>
      <c r="N284" s="208"/>
      <c r="Q284" s="283"/>
    </row>
    <row r="285" spans="1:17" ht="15.75">
      <c r="A285" s="283">
        <v>3</v>
      </c>
      <c r="B285" s="59"/>
      <c r="C285" s="59"/>
      <c r="D285" s="287"/>
      <c r="E285" s="288"/>
      <c r="F285" s="289"/>
      <c r="G285" s="59"/>
      <c r="H285" s="287"/>
      <c r="I285" s="288"/>
      <c r="J285" s="289"/>
      <c r="K285" s="283"/>
      <c r="L285" s="283"/>
      <c r="M285" s="283"/>
      <c r="N285" s="283"/>
      <c r="O285" s="283"/>
      <c r="P285" s="255"/>
      <c r="Q285" s="255"/>
    </row>
    <row r="286" spans="1:17" ht="15.75" hidden="1">
      <c r="A286" s="283">
        <v>3</v>
      </c>
      <c r="B286" s="59"/>
      <c r="C286" s="59"/>
      <c r="D286" s="287"/>
      <c r="E286" s="288"/>
      <c r="F286" s="289"/>
      <c r="G286" s="59"/>
      <c r="H286" s="287"/>
      <c r="I286" s="288"/>
      <c r="J286" s="290"/>
      <c r="K286" s="283"/>
      <c r="L286" s="283"/>
      <c r="M286" s="283"/>
      <c r="N286" s="283"/>
      <c r="O286" s="283"/>
      <c r="P286" s="255"/>
      <c r="Q286" s="255"/>
    </row>
    <row r="287" ht="12.75" hidden="1"/>
    <row r="288" s="260" customFormat="1" ht="12.75" hidden="1"/>
    <row r="289" spans="1:20" ht="16.5" hidden="1" thickBot="1">
      <c r="A289" s="260">
        <v>4</v>
      </c>
      <c r="F289" t="s">
        <v>395</v>
      </c>
      <c r="G289" s="10" t="s">
        <v>397</v>
      </c>
      <c r="H289" s="10" t="s">
        <v>398</v>
      </c>
      <c r="I289" s="133" t="s">
        <v>399</v>
      </c>
      <c r="J289" s="133" t="s">
        <v>400</v>
      </c>
      <c r="K289" s="133" t="s">
        <v>401</v>
      </c>
      <c r="L289" s="133" t="s">
        <v>402</v>
      </c>
      <c r="M289" s="133" t="s">
        <v>403</v>
      </c>
      <c r="N289" s="133" t="s">
        <v>404</v>
      </c>
      <c r="O289" s="148" t="s">
        <v>405</v>
      </c>
      <c r="P289" s="148">
        <v>1</v>
      </c>
      <c r="Q289" s="148">
        <v>2</v>
      </c>
      <c r="R289" s="148">
        <v>3</v>
      </c>
      <c r="S289" s="148">
        <v>4</v>
      </c>
      <c r="T289" s="148">
        <v>5</v>
      </c>
    </row>
    <row r="290" spans="1:20" ht="16.5" hidden="1" thickBot="1">
      <c r="A290" s="260">
        <v>4</v>
      </c>
      <c r="E290" s="123">
        <v>0</v>
      </c>
      <c r="F290" s="420">
        <f aca="true" t="shared" si="63" ref="F290:F301">IF(puntosproljorvarios4&lt;620,T290,O290)</f>
        <v>233</v>
      </c>
      <c r="G290" s="405">
        <v>233</v>
      </c>
      <c r="H290" s="223">
        <v>80</v>
      </c>
      <c r="I290" s="149">
        <v>0</v>
      </c>
      <c r="J290" s="150">
        <v>0</v>
      </c>
      <c r="K290" s="151">
        <v>0</v>
      </c>
      <c r="L290" s="224">
        <v>0</v>
      </c>
      <c r="M290" s="225">
        <v>80</v>
      </c>
      <c r="N290" s="226">
        <v>80</v>
      </c>
      <c r="O290" s="152">
        <f aca="true" t="shared" si="64" ref="O290:O301">IF(punbasjubvarios4&gt;971,N290,M290)</f>
        <v>80</v>
      </c>
      <c r="P290" s="152">
        <f aca="true" t="shared" si="65" ref="P290:P301">IF(punbasjubvarios4&lt;972,G290,H290)</f>
        <v>233</v>
      </c>
      <c r="Q290" s="152">
        <f aca="true" t="shared" si="66" ref="Q290:Q301">IF(punbasjubvarios4&lt;1170,P290,I290)</f>
        <v>233</v>
      </c>
      <c r="R290" s="152">
        <f aca="true" t="shared" si="67" ref="R290:R301">IF(punbasjubvarios4&lt;1401,Q290,J290)</f>
        <v>233</v>
      </c>
      <c r="S290" s="152">
        <f aca="true" t="shared" si="68" ref="S290:S301">IF(punbasjubvarios4&lt;1943,R290,K290)</f>
        <v>233</v>
      </c>
      <c r="T290" s="152">
        <f aca="true" t="shared" si="69" ref="T290:T301">IF(punbasjubvarios4&lt;=2220,S290,L290)</f>
        <v>233</v>
      </c>
    </row>
    <row r="291" spans="1:20" ht="16.5" hidden="1" thickBot="1">
      <c r="A291" s="260">
        <v>4</v>
      </c>
      <c r="E291" s="124">
        <v>0.1</v>
      </c>
      <c r="F291" s="420">
        <f t="shared" si="63"/>
        <v>250</v>
      </c>
      <c r="G291" s="406">
        <v>250</v>
      </c>
      <c r="H291" s="228">
        <v>90</v>
      </c>
      <c r="I291" s="149">
        <v>0</v>
      </c>
      <c r="J291" s="150">
        <v>0</v>
      </c>
      <c r="K291" s="151">
        <v>0</v>
      </c>
      <c r="L291" s="224">
        <v>0</v>
      </c>
      <c r="M291" s="225">
        <v>90</v>
      </c>
      <c r="N291" s="226">
        <v>90</v>
      </c>
      <c r="O291" s="152">
        <f t="shared" si="64"/>
        <v>90</v>
      </c>
      <c r="P291" s="152">
        <f t="shared" si="65"/>
        <v>250</v>
      </c>
      <c r="Q291" s="152">
        <f t="shared" si="66"/>
        <v>250</v>
      </c>
      <c r="R291" s="152">
        <f t="shared" si="67"/>
        <v>250</v>
      </c>
      <c r="S291" s="152">
        <f t="shared" si="68"/>
        <v>250</v>
      </c>
      <c r="T291" s="152">
        <f t="shared" si="69"/>
        <v>250</v>
      </c>
    </row>
    <row r="292" spans="1:20" ht="16.5" hidden="1" thickBot="1">
      <c r="A292" s="260">
        <v>4</v>
      </c>
      <c r="E292" s="125">
        <v>0.15</v>
      </c>
      <c r="F292" s="420">
        <f t="shared" si="63"/>
        <v>350</v>
      </c>
      <c r="G292" s="406">
        <v>350</v>
      </c>
      <c r="H292" s="228">
        <v>180</v>
      </c>
      <c r="I292" s="153">
        <v>240</v>
      </c>
      <c r="J292" s="154">
        <v>193</v>
      </c>
      <c r="K292" s="155">
        <v>180</v>
      </c>
      <c r="L292" s="224">
        <v>0</v>
      </c>
      <c r="M292" s="225">
        <v>220</v>
      </c>
      <c r="N292" s="226">
        <v>220</v>
      </c>
      <c r="O292" s="152">
        <f t="shared" si="64"/>
        <v>220</v>
      </c>
      <c r="P292" s="152">
        <f t="shared" si="65"/>
        <v>350</v>
      </c>
      <c r="Q292" s="152">
        <f t="shared" si="66"/>
        <v>350</v>
      </c>
      <c r="R292" s="152">
        <f t="shared" si="67"/>
        <v>350</v>
      </c>
      <c r="S292" s="152">
        <f t="shared" si="68"/>
        <v>350</v>
      </c>
      <c r="T292" s="152">
        <f t="shared" si="69"/>
        <v>350</v>
      </c>
    </row>
    <row r="293" spans="1:20" ht="16.5" hidden="1" thickBot="1">
      <c r="A293" s="260">
        <v>4</v>
      </c>
      <c r="E293" s="125">
        <v>0.3</v>
      </c>
      <c r="F293" s="420">
        <f t="shared" si="63"/>
        <v>405</v>
      </c>
      <c r="G293" s="406">
        <v>405</v>
      </c>
      <c r="H293" s="228">
        <v>195</v>
      </c>
      <c r="I293" s="153">
        <v>240</v>
      </c>
      <c r="J293" s="154">
        <v>193</v>
      </c>
      <c r="K293" s="155">
        <v>180</v>
      </c>
      <c r="L293" s="224">
        <v>0</v>
      </c>
      <c r="M293" s="225">
        <v>380</v>
      </c>
      <c r="N293" s="226">
        <v>350</v>
      </c>
      <c r="O293" s="152">
        <f t="shared" si="64"/>
        <v>380</v>
      </c>
      <c r="P293" s="152">
        <f t="shared" si="65"/>
        <v>405</v>
      </c>
      <c r="Q293" s="152">
        <f t="shared" si="66"/>
        <v>405</v>
      </c>
      <c r="R293" s="152">
        <f t="shared" si="67"/>
        <v>405</v>
      </c>
      <c r="S293" s="152">
        <f t="shared" si="68"/>
        <v>405</v>
      </c>
      <c r="T293" s="152">
        <f t="shared" si="69"/>
        <v>405</v>
      </c>
    </row>
    <row r="294" spans="1:20" ht="16.5" hidden="1" thickBot="1">
      <c r="A294" s="260">
        <v>4</v>
      </c>
      <c r="E294" s="125">
        <v>0.4</v>
      </c>
      <c r="F294" s="420">
        <f t="shared" si="63"/>
        <v>440</v>
      </c>
      <c r="G294" s="406">
        <v>440</v>
      </c>
      <c r="H294" s="228">
        <v>210</v>
      </c>
      <c r="I294" s="153">
        <v>250</v>
      </c>
      <c r="J294" s="154">
        <v>200</v>
      </c>
      <c r="K294" s="155">
        <v>180</v>
      </c>
      <c r="L294" s="224">
        <v>140</v>
      </c>
      <c r="M294" s="225">
        <v>440</v>
      </c>
      <c r="N294" s="226">
        <v>400</v>
      </c>
      <c r="O294" s="152">
        <f t="shared" si="64"/>
        <v>440</v>
      </c>
      <c r="P294" s="152">
        <f t="shared" si="65"/>
        <v>440</v>
      </c>
      <c r="Q294" s="152">
        <f t="shared" si="66"/>
        <v>440</v>
      </c>
      <c r="R294" s="152">
        <f t="shared" si="67"/>
        <v>440</v>
      </c>
      <c r="S294" s="152">
        <f t="shared" si="68"/>
        <v>440</v>
      </c>
      <c r="T294" s="152">
        <f t="shared" si="69"/>
        <v>440</v>
      </c>
    </row>
    <row r="295" spans="1:20" ht="16.5" hidden="1" thickBot="1">
      <c r="A295" s="260">
        <v>4</v>
      </c>
      <c r="E295" s="125">
        <v>0.5</v>
      </c>
      <c r="F295" s="420">
        <f t="shared" si="63"/>
        <v>455</v>
      </c>
      <c r="G295" s="406">
        <v>455</v>
      </c>
      <c r="H295" s="228">
        <v>230</v>
      </c>
      <c r="I295" s="153">
        <v>250</v>
      </c>
      <c r="J295" s="137">
        <v>200</v>
      </c>
      <c r="K295" s="155">
        <v>180</v>
      </c>
      <c r="L295" s="224">
        <v>140</v>
      </c>
      <c r="M295" s="225">
        <v>475</v>
      </c>
      <c r="N295" s="226">
        <v>435</v>
      </c>
      <c r="O295" s="152">
        <f t="shared" si="64"/>
        <v>475</v>
      </c>
      <c r="P295" s="152">
        <f t="shared" si="65"/>
        <v>455</v>
      </c>
      <c r="Q295" s="152">
        <f t="shared" si="66"/>
        <v>455</v>
      </c>
      <c r="R295" s="152">
        <f t="shared" si="67"/>
        <v>455</v>
      </c>
      <c r="S295" s="152">
        <f t="shared" si="68"/>
        <v>455</v>
      </c>
      <c r="T295" s="152">
        <f t="shared" si="69"/>
        <v>455</v>
      </c>
    </row>
    <row r="296" spans="1:20" ht="16.5" hidden="1" thickBot="1">
      <c r="A296" s="260">
        <v>4</v>
      </c>
      <c r="E296" s="125">
        <v>0.6</v>
      </c>
      <c r="F296" s="420">
        <f t="shared" si="63"/>
        <v>465</v>
      </c>
      <c r="G296" s="406">
        <v>465</v>
      </c>
      <c r="H296" s="228">
        <v>260</v>
      </c>
      <c r="I296" s="153">
        <v>260</v>
      </c>
      <c r="J296" s="137">
        <v>203</v>
      </c>
      <c r="K296" s="155">
        <v>190</v>
      </c>
      <c r="L296" s="224">
        <v>160</v>
      </c>
      <c r="M296" s="225">
        <v>510</v>
      </c>
      <c r="N296" s="226">
        <v>450</v>
      </c>
      <c r="O296" s="152">
        <f t="shared" si="64"/>
        <v>510</v>
      </c>
      <c r="P296" s="152">
        <f t="shared" si="65"/>
        <v>465</v>
      </c>
      <c r="Q296" s="152">
        <f t="shared" si="66"/>
        <v>465</v>
      </c>
      <c r="R296" s="152">
        <f t="shared" si="67"/>
        <v>465</v>
      </c>
      <c r="S296" s="152">
        <f t="shared" si="68"/>
        <v>465</v>
      </c>
      <c r="T296" s="152">
        <f t="shared" si="69"/>
        <v>465</v>
      </c>
    </row>
    <row r="297" spans="1:20" ht="16.5" hidden="1" thickBot="1">
      <c r="A297" s="260">
        <v>4</v>
      </c>
      <c r="E297" s="125">
        <v>0.7</v>
      </c>
      <c r="F297" s="420">
        <f t="shared" si="63"/>
        <v>445</v>
      </c>
      <c r="G297" s="406">
        <v>445</v>
      </c>
      <c r="H297" s="228">
        <v>285</v>
      </c>
      <c r="I297" s="153">
        <v>365</v>
      </c>
      <c r="J297" s="137">
        <v>230</v>
      </c>
      <c r="K297" s="155">
        <v>190</v>
      </c>
      <c r="L297" s="224">
        <v>160</v>
      </c>
      <c r="M297" s="225">
        <v>525</v>
      </c>
      <c r="N297" s="226">
        <v>465</v>
      </c>
      <c r="O297" s="152">
        <f t="shared" si="64"/>
        <v>525</v>
      </c>
      <c r="P297" s="152">
        <f t="shared" si="65"/>
        <v>445</v>
      </c>
      <c r="Q297" s="152">
        <f t="shared" si="66"/>
        <v>445</v>
      </c>
      <c r="R297" s="152">
        <f t="shared" si="67"/>
        <v>445</v>
      </c>
      <c r="S297" s="152">
        <f t="shared" si="68"/>
        <v>445</v>
      </c>
      <c r="T297" s="152">
        <f t="shared" si="69"/>
        <v>445</v>
      </c>
    </row>
    <row r="298" spans="1:20" ht="16.5" hidden="1" thickBot="1">
      <c r="A298" s="260">
        <v>4</v>
      </c>
      <c r="E298" s="125">
        <v>0.8</v>
      </c>
      <c r="F298" s="420">
        <f t="shared" si="63"/>
        <v>535</v>
      </c>
      <c r="G298" s="406">
        <v>535</v>
      </c>
      <c r="H298" s="228">
        <v>345</v>
      </c>
      <c r="I298" s="136">
        <v>395</v>
      </c>
      <c r="J298" s="137">
        <v>340</v>
      </c>
      <c r="K298" s="156">
        <v>280</v>
      </c>
      <c r="L298" s="230">
        <v>180</v>
      </c>
      <c r="M298" s="225">
        <v>555</v>
      </c>
      <c r="N298" s="226">
        <v>475</v>
      </c>
      <c r="O298" s="152">
        <f t="shared" si="64"/>
        <v>555</v>
      </c>
      <c r="P298" s="152">
        <f t="shared" si="65"/>
        <v>535</v>
      </c>
      <c r="Q298" s="152">
        <f t="shared" si="66"/>
        <v>535</v>
      </c>
      <c r="R298" s="152">
        <f t="shared" si="67"/>
        <v>535</v>
      </c>
      <c r="S298" s="152">
        <f t="shared" si="68"/>
        <v>535</v>
      </c>
      <c r="T298" s="152">
        <f t="shared" si="69"/>
        <v>535</v>
      </c>
    </row>
    <row r="299" spans="1:20" ht="16.5" hidden="1" thickBot="1">
      <c r="A299" s="260">
        <v>4</v>
      </c>
      <c r="E299" s="125">
        <v>1</v>
      </c>
      <c r="F299" s="420">
        <f t="shared" si="63"/>
        <v>665</v>
      </c>
      <c r="G299" s="406">
        <v>665</v>
      </c>
      <c r="H299" s="228">
        <v>435</v>
      </c>
      <c r="I299" s="136">
        <v>410</v>
      </c>
      <c r="J299" s="137">
        <v>330</v>
      </c>
      <c r="K299" s="156">
        <v>310</v>
      </c>
      <c r="L299" s="230">
        <v>180</v>
      </c>
      <c r="M299" s="225">
        <v>590</v>
      </c>
      <c r="N299" s="226">
        <v>490</v>
      </c>
      <c r="O299" s="152">
        <f t="shared" si="64"/>
        <v>590</v>
      </c>
      <c r="P299" s="152">
        <f t="shared" si="65"/>
        <v>665</v>
      </c>
      <c r="Q299" s="152">
        <f t="shared" si="66"/>
        <v>665</v>
      </c>
      <c r="R299" s="152">
        <f t="shared" si="67"/>
        <v>665</v>
      </c>
      <c r="S299" s="152">
        <f t="shared" si="68"/>
        <v>665</v>
      </c>
      <c r="T299" s="152">
        <f t="shared" si="69"/>
        <v>665</v>
      </c>
    </row>
    <row r="300" spans="1:20" ht="16.5" hidden="1" thickBot="1">
      <c r="A300" s="260">
        <v>4</v>
      </c>
      <c r="E300" s="125">
        <v>1.1</v>
      </c>
      <c r="F300" s="420">
        <f t="shared" si="63"/>
        <v>745</v>
      </c>
      <c r="G300" s="406">
        <v>745</v>
      </c>
      <c r="H300" s="228">
        <v>495</v>
      </c>
      <c r="I300" s="136">
        <v>430</v>
      </c>
      <c r="J300" s="137">
        <v>330</v>
      </c>
      <c r="K300" s="156">
        <v>320</v>
      </c>
      <c r="L300" s="230">
        <v>190</v>
      </c>
      <c r="M300" s="225">
        <v>615</v>
      </c>
      <c r="N300" s="226">
        <v>505</v>
      </c>
      <c r="O300" s="152">
        <f t="shared" si="64"/>
        <v>615</v>
      </c>
      <c r="P300" s="152">
        <f t="shared" si="65"/>
        <v>745</v>
      </c>
      <c r="Q300" s="152">
        <f t="shared" si="66"/>
        <v>745</v>
      </c>
      <c r="R300" s="152">
        <f t="shared" si="67"/>
        <v>745</v>
      </c>
      <c r="S300" s="152">
        <f t="shared" si="68"/>
        <v>745</v>
      </c>
      <c r="T300" s="152">
        <f t="shared" si="69"/>
        <v>745</v>
      </c>
    </row>
    <row r="301" spans="1:20" ht="16.5" hidden="1" thickBot="1">
      <c r="A301" s="260">
        <v>4</v>
      </c>
      <c r="E301" s="126">
        <v>1.2</v>
      </c>
      <c r="F301" s="420">
        <f t="shared" si="63"/>
        <v>770</v>
      </c>
      <c r="G301" s="406">
        <v>770</v>
      </c>
      <c r="H301" s="228">
        <v>510</v>
      </c>
      <c r="I301" s="136">
        <v>480</v>
      </c>
      <c r="J301" s="137">
        <v>335</v>
      </c>
      <c r="K301" s="156">
        <v>330</v>
      </c>
      <c r="L301" s="230">
        <v>190</v>
      </c>
      <c r="M301" s="225">
        <v>620</v>
      </c>
      <c r="N301" s="226">
        <v>510</v>
      </c>
      <c r="O301" s="152">
        <f t="shared" si="64"/>
        <v>620</v>
      </c>
      <c r="P301" s="152">
        <f t="shared" si="65"/>
        <v>770</v>
      </c>
      <c r="Q301" s="152">
        <f t="shared" si="66"/>
        <v>770</v>
      </c>
      <c r="R301" s="152">
        <f t="shared" si="67"/>
        <v>770</v>
      </c>
      <c r="S301" s="152">
        <f t="shared" si="68"/>
        <v>770</v>
      </c>
      <c r="T301" s="152">
        <f t="shared" si="69"/>
        <v>770</v>
      </c>
    </row>
    <row r="302" spans="1:20" s="255" customFormat="1" ht="15.75" hidden="1">
      <c r="A302" s="260">
        <v>4</v>
      </c>
      <c r="E302" s="256"/>
      <c r="F302" s="164"/>
      <c r="G302" s="164"/>
      <c r="H302" s="257"/>
      <c r="I302" s="258"/>
      <c r="J302" s="258"/>
      <c r="K302" s="164"/>
      <c r="L302" s="11"/>
      <c r="M302" s="135"/>
      <c r="N302" s="135"/>
      <c r="O302" s="135"/>
      <c r="P302" s="135"/>
      <c r="Q302" s="135"/>
      <c r="R302" s="135"/>
      <c r="S302" s="135"/>
      <c r="T302" s="135"/>
    </row>
    <row r="303" spans="1:20" s="255" customFormat="1" ht="15.75" hidden="1">
      <c r="A303" s="260">
        <v>4</v>
      </c>
      <c r="E303" s="256"/>
      <c r="F303" s="164" t="s">
        <v>427</v>
      </c>
      <c r="G303" s="164">
        <f>LOOKUP(F352,porantvar4,cod06cargosvar4)</f>
        <v>770</v>
      </c>
      <c r="H303" s="257"/>
      <c r="I303" s="258"/>
      <c r="J303" s="258"/>
      <c r="K303" s="164"/>
      <c r="L303" s="11"/>
      <c r="M303" s="135"/>
      <c r="N303" s="135"/>
      <c r="O303" s="135"/>
      <c r="P303" s="135"/>
      <c r="Q303" s="135"/>
      <c r="R303" s="135"/>
      <c r="S303" s="135"/>
      <c r="T303" s="135"/>
    </row>
    <row r="304" spans="1:20" s="255" customFormat="1" ht="15.75" hidden="1">
      <c r="A304" s="260"/>
      <c r="E304" s="256"/>
      <c r="F304" s="164"/>
      <c r="G304" s="164"/>
      <c r="H304" s="257"/>
      <c r="I304" s="258"/>
      <c r="J304" s="258"/>
      <c r="K304" s="164"/>
      <c r="L304" s="11"/>
      <c r="M304" s="135"/>
      <c r="N304" s="135"/>
      <c r="O304" s="135"/>
      <c r="P304" s="135"/>
      <c r="Q304" s="135"/>
      <c r="R304" s="135"/>
      <c r="S304" s="135"/>
      <c r="T304" s="135"/>
    </row>
    <row r="305" spans="1:20" ht="16.5" hidden="1" thickBot="1">
      <c r="A305" s="260">
        <v>4</v>
      </c>
      <c r="F305" t="s">
        <v>395</v>
      </c>
      <c r="G305" s="10" t="s">
        <v>397</v>
      </c>
      <c r="H305" s="10" t="s">
        <v>398</v>
      </c>
      <c r="I305" s="133" t="s">
        <v>399</v>
      </c>
      <c r="J305" s="133" t="s">
        <v>400</v>
      </c>
      <c r="K305" s="133" t="s">
        <v>401</v>
      </c>
      <c r="L305" s="133" t="s">
        <v>402</v>
      </c>
      <c r="M305" s="133" t="s">
        <v>403</v>
      </c>
      <c r="N305" s="133" t="s">
        <v>404</v>
      </c>
      <c r="O305" s="148" t="s">
        <v>405</v>
      </c>
      <c r="P305" s="148">
        <v>1</v>
      </c>
      <c r="Q305" s="148">
        <v>2</v>
      </c>
      <c r="R305" s="148">
        <v>3</v>
      </c>
      <c r="S305" s="148">
        <v>4</v>
      </c>
      <c r="T305" s="148">
        <v>5</v>
      </c>
    </row>
    <row r="306" spans="1:20" ht="15.75" hidden="1">
      <c r="A306" s="260">
        <v>4</v>
      </c>
      <c r="E306" s="123">
        <v>0</v>
      </c>
      <c r="F306" s="420">
        <f aca="true" t="shared" si="70" ref="F306:F317">IF(puntosproljorvarios4&lt;620,T306,O306)</f>
        <v>268</v>
      </c>
      <c r="G306" s="414">
        <v>268</v>
      </c>
      <c r="H306" s="414">
        <v>92</v>
      </c>
      <c r="I306" s="414">
        <v>0</v>
      </c>
      <c r="J306" s="414">
        <v>0</v>
      </c>
      <c r="K306" s="414">
        <v>0</v>
      </c>
      <c r="L306" s="414">
        <v>0</v>
      </c>
      <c r="M306" s="414">
        <v>92</v>
      </c>
      <c r="N306" s="414">
        <v>92</v>
      </c>
      <c r="O306" s="152">
        <f aca="true" t="shared" si="71" ref="O306:O317">IF(punbasjubvarios4&gt;971,N306,M306)</f>
        <v>92</v>
      </c>
      <c r="P306" s="152">
        <f aca="true" t="shared" si="72" ref="P306:P317">IF(punbasjubvarios4&lt;972,G306,H306)</f>
        <v>268</v>
      </c>
      <c r="Q306" s="152">
        <f aca="true" t="shared" si="73" ref="Q306:Q317">IF(punbasjubvarios4&lt;1170,P306,I306)</f>
        <v>268</v>
      </c>
      <c r="R306" s="152">
        <f aca="true" t="shared" si="74" ref="R306:R317">IF(punbasjubvarios4&lt;1401,Q306,J306)</f>
        <v>268</v>
      </c>
      <c r="S306" s="152">
        <f aca="true" t="shared" si="75" ref="S306:S317">IF(punbasjubvarios4&lt;1943,R306,K306)</f>
        <v>268</v>
      </c>
      <c r="T306" s="152">
        <f aca="true" t="shared" si="76" ref="T306:T317">IF(punbasjubvarios4&lt;=2220,S306,L306)</f>
        <v>268</v>
      </c>
    </row>
    <row r="307" spans="1:20" ht="15.75" hidden="1">
      <c r="A307" s="260">
        <v>4</v>
      </c>
      <c r="E307" s="124">
        <v>0.1</v>
      </c>
      <c r="F307" s="420">
        <f t="shared" si="70"/>
        <v>288</v>
      </c>
      <c r="G307" s="414">
        <v>288</v>
      </c>
      <c r="H307" s="414">
        <v>104</v>
      </c>
      <c r="I307" s="414">
        <v>0</v>
      </c>
      <c r="J307" s="414">
        <v>0</v>
      </c>
      <c r="K307" s="414">
        <v>0</v>
      </c>
      <c r="L307" s="414">
        <v>0</v>
      </c>
      <c r="M307" s="414">
        <v>104</v>
      </c>
      <c r="N307" s="414">
        <v>104</v>
      </c>
      <c r="O307" s="152">
        <f t="shared" si="71"/>
        <v>104</v>
      </c>
      <c r="P307" s="152">
        <f t="shared" si="72"/>
        <v>288</v>
      </c>
      <c r="Q307" s="152">
        <f t="shared" si="73"/>
        <v>288</v>
      </c>
      <c r="R307" s="152">
        <f t="shared" si="74"/>
        <v>288</v>
      </c>
      <c r="S307" s="152">
        <f t="shared" si="75"/>
        <v>288</v>
      </c>
      <c r="T307" s="152">
        <f t="shared" si="76"/>
        <v>288</v>
      </c>
    </row>
    <row r="308" spans="1:20" ht="15.75" hidden="1">
      <c r="A308" s="260">
        <v>4</v>
      </c>
      <c r="E308" s="125">
        <v>0.15</v>
      </c>
      <c r="F308" s="420">
        <f t="shared" si="70"/>
        <v>403</v>
      </c>
      <c r="G308" s="414">
        <v>403</v>
      </c>
      <c r="H308" s="414">
        <v>207</v>
      </c>
      <c r="I308" s="414">
        <v>276</v>
      </c>
      <c r="J308" s="414">
        <v>222</v>
      </c>
      <c r="K308" s="414">
        <v>207</v>
      </c>
      <c r="L308" s="414">
        <v>0</v>
      </c>
      <c r="M308" s="414">
        <v>253</v>
      </c>
      <c r="N308" s="414">
        <v>253</v>
      </c>
      <c r="O308" s="152">
        <f t="shared" si="71"/>
        <v>253</v>
      </c>
      <c r="P308" s="152">
        <f t="shared" si="72"/>
        <v>403</v>
      </c>
      <c r="Q308" s="152">
        <f t="shared" si="73"/>
        <v>403</v>
      </c>
      <c r="R308" s="152">
        <f t="shared" si="74"/>
        <v>403</v>
      </c>
      <c r="S308" s="152">
        <f t="shared" si="75"/>
        <v>403</v>
      </c>
      <c r="T308" s="152">
        <f t="shared" si="76"/>
        <v>403</v>
      </c>
    </row>
    <row r="309" spans="1:20" ht="15.75" hidden="1">
      <c r="A309" s="260">
        <v>4</v>
      </c>
      <c r="E309" s="125">
        <v>0.3</v>
      </c>
      <c r="F309" s="420">
        <f t="shared" si="70"/>
        <v>466</v>
      </c>
      <c r="G309" s="414">
        <v>466</v>
      </c>
      <c r="H309" s="414">
        <v>224</v>
      </c>
      <c r="I309" s="414">
        <v>276</v>
      </c>
      <c r="J309" s="414">
        <v>222</v>
      </c>
      <c r="K309" s="414">
        <v>207</v>
      </c>
      <c r="L309" s="414">
        <v>0</v>
      </c>
      <c r="M309" s="414">
        <v>437</v>
      </c>
      <c r="N309" s="414">
        <v>403</v>
      </c>
      <c r="O309" s="152">
        <f t="shared" si="71"/>
        <v>437</v>
      </c>
      <c r="P309" s="152">
        <f t="shared" si="72"/>
        <v>466</v>
      </c>
      <c r="Q309" s="152">
        <f t="shared" si="73"/>
        <v>466</v>
      </c>
      <c r="R309" s="152">
        <f t="shared" si="74"/>
        <v>466</v>
      </c>
      <c r="S309" s="152">
        <f t="shared" si="75"/>
        <v>466</v>
      </c>
      <c r="T309" s="152">
        <f t="shared" si="76"/>
        <v>466</v>
      </c>
    </row>
    <row r="310" spans="1:20" ht="15.75" hidden="1">
      <c r="A310" s="260">
        <v>4</v>
      </c>
      <c r="E310" s="125">
        <v>0.4</v>
      </c>
      <c r="F310" s="420">
        <f t="shared" si="70"/>
        <v>506</v>
      </c>
      <c r="G310" s="414">
        <v>506</v>
      </c>
      <c r="H310" s="414">
        <v>242</v>
      </c>
      <c r="I310" s="414">
        <v>288</v>
      </c>
      <c r="J310" s="414">
        <v>230</v>
      </c>
      <c r="K310" s="414">
        <v>207</v>
      </c>
      <c r="L310" s="414">
        <v>161</v>
      </c>
      <c r="M310" s="414">
        <v>506</v>
      </c>
      <c r="N310" s="414">
        <v>460</v>
      </c>
      <c r="O310" s="152">
        <f t="shared" si="71"/>
        <v>506</v>
      </c>
      <c r="P310" s="152">
        <f t="shared" si="72"/>
        <v>506</v>
      </c>
      <c r="Q310" s="152">
        <f t="shared" si="73"/>
        <v>506</v>
      </c>
      <c r="R310" s="152">
        <f t="shared" si="74"/>
        <v>506</v>
      </c>
      <c r="S310" s="152">
        <f t="shared" si="75"/>
        <v>506</v>
      </c>
      <c r="T310" s="152">
        <f t="shared" si="76"/>
        <v>506</v>
      </c>
    </row>
    <row r="311" spans="1:20" ht="15.75" hidden="1">
      <c r="A311" s="260">
        <v>4</v>
      </c>
      <c r="E311" s="125">
        <v>0.5</v>
      </c>
      <c r="F311" s="420">
        <f t="shared" si="70"/>
        <v>523</v>
      </c>
      <c r="G311" s="414">
        <v>523</v>
      </c>
      <c r="H311" s="414">
        <v>265</v>
      </c>
      <c r="I311" s="414">
        <v>288</v>
      </c>
      <c r="J311" s="414">
        <v>230</v>
      </c>
      <c r="K311" s="414">
        <v>207</v>
      </c>
      <c r="L311" s="414">
        <v>161</v>
      </c>
      <c r="M311" s="414">
        <v>546</v>
      </c>
      <c r="N311" s="414">
        <v>500</v>
      </c>
      <c r="O311" s="152">
        <f t="shared" si="71"/>
        <v>546</v>
      </c>
      <c r="P311" s="152">
        <f t="shared" si="72"/>
        <v>523</v>
      </c>
      <c r="Q311" s="152">
        <f t="shared" si="73"/>
        <v>523</v>
      </c>
      <c r="R311" s="152">
        <f t="shared" si="74"/>
        <v>523</v>
      </c>
      <c r="S311" s="152">
        <f t="shared" si="75"/>
        <v>523</v>
      </c>
      <c r="T311" s="152">
        <f t="shared" si="76"/>
        <v>523</v>
      </c>
    </row>
    <row r="312" spans="1:20" ht="15.75" hidden="1">
      <c r="A312" s="260">
        <v>4</v>
      </c>
      <c r="E312" s="125">
        <v>0.6</v>
      </c>
      <c r="F312" s="420">
        <f t="shared" si="70"/>
        <v>535</v>
      </c>
      <c r="G312" s="414">
        <v>535</v>
      </c>
      <c r="H312" s="414">
        <v>299</v>
      </c>
      <c r="I312" s="414">
        <v>299</v>
      </c>
      <c r="J312" s="414">
        <v>233</v>
      </c>
      <c r="K312" s="414">
        <v>219</v>
      </c>
      <c r="L312" s="414">
        <v>184</v>
      </c>
      <c r="M312" s="414">
        <v>587</v>
      </c>
      <c r="N312" s="414">
        <v>518</v>
      </c>
      <c r="O312" s="152">
        <f t="shared" si="71"/>
        <v>587</v>
      </c>
      <c r="P312" s="152">
        <f t="shared" si="72"/>
        <v>535</v>
      </c>
      <c r="Q312" s="152">
        <f t="shared" si="73"/>
        <v>535</v>
      </c>
      <c r="R312" s="152">
        <f t="shared" si="74"/>
        <v>535</v>
      </c>
      <c r="S312" s="152">
        <f t="shared" si="75"/>
        <v>535</v>
      </c>
      <c r="T312" s="152">
        <f t="shared" si="76"/>
        <v>535</v>
      </c>
    </row>
    <row r="313" spans="1:20" ht="15.75" hidden="1">
      <c r="A313" s="260">
        <v>4</v>
      </c>
      <c r="E313" s="125">
        <v>0.7</v>
      </c>
      <c r="F313" s="420">
        <f t="shared" si="70"/>
        <v>512</v>
      </c>
      <c r="G313" s="414">
        <v>512</v>
      </c>
      <c r="H313" s="414">
        <v>328</v>
      </c>
      <c r="I313" s="414">
        <v>420</v>
      </c>
      <c r="J313" s="414">
        <v>265</v>
      </c>
      <c r="K313" s="414">
        <v>219</v>
      </c>
      <c r="L313" s="414">
        <v>184</v>
      </c>
      <c r="M313" s="414">
        <v>604</v>
      </c>
      <c r="N313" s="414">
        <v>535</v>
      </c>
      <c r="O313" s="152">
        <f t="shared" si="71"/>
        <v>604</v>
      </c>
      <c r="P313" s="152">
        <f t="shared" si="72"/>
        <v>512</v>
      </c>
      <c r="Q313" s="152">
        <f t="shared" si="73"/>
        <v>512</v>
      </c>
      <c r="R313" s="152">
        <f t="shared" si="74"/>
        <v>512</v>
      </c>
      <c r="S313" s="152">
        <f t="shared" si="75"/>
        <v>512</v>
      </c>
      <c r="T313" s="152">
        <f t="shared" si="76"/>
        <v>512</v>
      </c>
    </row>
    <row r="314" spans="1:20" ht="15.75" hidden="1">
      <c r="A314" s="260">
        <v>4</v>
      </c>
      <c r="E314" s="125">
        <v>0.8</v>
      </c>
      <c r="F314" s="420">
        <f t="shared" si="70"/>
        <v>615</v>
      </c>
      <c r="G314" s="414">
        <v>615</v>
      </c>
      <c r="H314" s="414">
        <v>397</v>
      </c>
      <c r="I314" s="414">
        <v>454</v>
      </c>
      <c r="J314" s="414">
        <v>391</v>
      </c>
      <c r="K314" s="414">
        <v>322</v>
      </c>
      <c r="L314" s="414">
        <v>207</v>
      </c>
      <c r="M314" s="414">
        <v>638</v>
      </c>
      <c r="N314" s="414">
        <v>546</v>
      </c>
      <c r="O314" s="152">
        <f t="shared" si="71"/>
        <v>638</v>
      </c>
      <c r="P314" s="152">
        <f t="shared" si="72"/>
        <v>615</v>
      </c>
      <c r="Q314" s="152">
        <f t="shared" si="73"/>
        <v>615</v>
      </c>
      <c r="R314" s="152">
        <f t="shared" si="74"/>
        <v>615</v>
      </c>
      <c r="S314" s="152">
        <f t="shared" si="75"/>
        <v>615</v>
      </c>
      <c r="T314" s="152">
        <f t="shared" si="76"/>
        <v>615</v>
      </c>
    </row>
    <row r="315" spans="1:20" ht="15.75" hidden="1">
      <c r="A315" s="260">
        <v>4</v>
      </c>
      <c r="E315" s="125">
        <v>1</v>
      </c>
      <c r="F315" s="420">
        <f t="shared" si="70"/>
        <v>765</v>
      </c>
      <c r="G315" s="414">
        <v>765</v>
      </c>
      <c r="H315" s="414">
        <v>500</v>
      </c>
      <c r="I315" s="414">
        <v>472</v>
      </c>
      <c r="J315" s="414">
        <v>380</v>
      </c>
      <c r="K315" s="414">
        <v>357</v>
      </c>
      <c r="L315" s="414">
        <v>207</v>
      </c>
      <c r="M315" s="414">
        <v>679</v>
      </c>
      <c r="N315" s="414">
        <v>564</v>
      </c>
      <c r="O315" s="152">
        <f t="shared" si="71"/>
        <v>679</v>
      </c>
      <c r="P315" s="152">
        <f t="shared" si="72"/>
        <v>765</v>
      </c>
      <c r="Q315" s="152">
        <f t="shared" si="73"/>
        <v>765</v>
      </c>
      <c r="R315" s="152">
        <f t="shared" si="74"/>
        <v>765</v>
      </c>
      <c r="S315" s="152">
        <f t="shared" si="75"/>
        <v>765</v>
      </c>
      <c r="T315" s="152">
        <f t="shared" si="76"/>
        <v>765</v>
      </c>
    </row>
    <row r="316" spans="1:20" ht="15.75" hidden="1">
      <c r="A316" s="260">
        <v>4</v>
      </c>
      <c r="E316" s="125">
        <v>1.1</v>
      </c>
      <c r="F316" s="420">
        <f t="shared" si="70"/>
        <v>857</v>
      </c>
      <c r="G316" s="414">
        <v>857</v>
      </c>
      <c r="H316" s="414">
        <v>569</v>
      </c>
      <c r="I316" s="414">
        <v>495</v>
      </c>
      <c r="J316" s="414">
        <v>380</v>
      </c>
      <c r="K316" s="414">
        <v>368</v>
      </c>
      <c r="L316" s="414">
        <v>219</v>
      </c>
      <c r="M316" s="414">
        <v>707</v>
      </c>
      <c r="N316" s="414">
        <v>581</v>
      </c>
      <c r="O316" s="152">
        <f t="shared" si="71"/>
        <v>707</v>
      </c>
      <c r="P316" s="152">
        <f t="shared" si="72"/>
        <v>857</v>
      </c>
      <c r="Q316" s="152">
        <f t="shared" si="73"/>
        <v>857</v>
      </c>
      <c r="R316" s="152">
        <f t="shared" si="74"/>
        <v>857</v>
      </c>
      <c r="S316" s="152">
        <f t="shared" si="75"/>
        <v>857</v>
      </c>
      <c r="T316" s="152">
        <f t="shared" si="76"/>
        <v>857</v>
      </c>
    </row>
    <row r="317" spans="1:20" ht="16.5" hidden="1" thickBot="1">
      <c r="A317" s="260">
        <v>4</v>
      </c>
      <c r="E317" s="126">
        <v>1.2</v>
      </c>
      <c r="F317" s="420">
        <f t="shared" si="70"/>
        <v>886</v>
      </c>
      <c r="G317" s="414">
        <v>886</v>
      </c>
      <c r="H317" s="414">
        <v>587</v>
      </c>
      <c r="I317" s="414">
        <v>552</v>
      </c>
      <c r="J317" s="414">
        <v>385</v>
      </c>
      <c r="K317" s="414">
        <v>380</v>
      </c>
      <c r="L317" s="414">
        <v>219</v>
      </c>
      <c r="M317" s="414">
        <v>713</v>
      </c>
      <c r="N317" s="414">
        <v>587</v>
      </c>
      <c r="O317" s="152">
        <f t="shared" si="71"/>
        <v>713</v>
      </c>
      <c r="P317" s="152">
        <f t="shared" si="72"/>
        <v>886</v>
      </c>
      <c r="Q317" s="152">
        <f t="shared" si="73"/>
        <v>886</v>
      </c>
      <c r="R317" s="152">
        <f t="shared" si="74"/>
        <v>886</v>
      </c>
      <c r="S317" s="152">
        <f t="shared" si="75"/>
        <v>886</v>
      </c>
      <c r="T317" s="152">
        <f t="shared" si="76"/>
        <v>886</v>
      </c>
    </row>
    <row r="318" spans="1:20" s="255" customFormat="1" ht="15.75" hidden="1">
      <c r="A318" s="260">
        <v>4</v>
      </c>
      <c r="E318" s="256"/>
      <c r="F318" s="164"/>
      <c r="G318" s="164"/>
      <c r="H318" s="257"/>
      <c r="I318" s="258"/>
      <c r="J318" s="258"/>
      <c r="K318" s="164"/>
      <c r="L318" s="11"/>
      <c r="M318" s="135"/>
      <c r="N318" s="135"/>
      <c r="O318" s="135"/>
      <c r="P318" s="135"/>
      <c r="Q318" s="135"/>
      <c r="R318" s="135"/>
      <c r="S318" s="135"/>
      <c r="T318" s="135"/>
    </row>
    <row r="319" spans="1:20" s="255" customFormat="1" ht="15.75" hidden="1">
      <c r="A319" s="260">
        <v>4</v>
      </c>
      <c r="E319" s="256"/>
      <c r="F319" s="164" t="s">
        <v>446</v>
      </c>
      <c r="G319" s="164">
        <f>LOOKUP(F352,porantvar4,cod06cargosvar4mar10)</f>
        <v>886</v>
      </c>
      <c r="H319" s="257"/>
      <c r="I319" s="258"/>
      <c r="J319" s="258"/>
      <c r="K319" s="164"/>
      <c r="L319" s="11"/>
      <c r="M319" s="135"/>
      <c r="N319" s="135"/>
      <c r="O319" s="135"/>
      <c r="P319" s="135"/>
      <c r="Q319" s="135"/>
      <c r="R319" s="135"/>
      <c r="S319" s="135"/>
      <c r="T319" s="135"/>
    </row>
    <row r="320" spans="1:20" s="255" customFormat="1" ht="15.75" hidden="1">
      <c r="A320" s="260"/>
      <c r="E320" s="256"/>
      <c r="F320" s="164"/>
      <c r="G320" s="164"/>
      <c r="H320" s="257"/>
      <c r="I320" s="258"/>
      <c r="J320" s="258"/>
      <c r="K320" s="164"/>
      <c r="L320" s="11"/>
      <c r="M320" s="135"/>
      <c r="N320" s="135"/>
      <c r="O320" s="135"/>
      <c r="P320" s="135"/>
      <c r="Q320" s="135"/>
      <c r="R320" s="135"/>
      <c r="S320" s="135"/>
      <c r="T320" s="135"/>
    </row>
    <row r="321" spans="1:20" s="255" customFormat="1" ht="15.75" hidden="1">
      <c r="A321" s="260"/>
      <c r="E321" s="256"/>
      <c r="F321" s="164"/>
      <c r="G321" s="164"/>
      <c r="H321" s="257"/>
      <c r="I321" s="258"/>
      <c r="J321" s="258"/>
      <c r="K321" s="164"/>
      <c r="L321" s="11"/>
      <c r="M321" s="135"/>
      <c r="N321" s="135"/>
      <c r="O321" s="135"/>
      <c r="P321" s="135"/>
      <c r="Q321" s="135"/>
      <c r="R321" s="135"/>
      <c r="S321" s="135"/>
      <c r="T321" s="135"/>
    </row>
    <row r="322" spans="1:20" ht="16.5" hidden="1" thickBot="1">
      <c r="A322" s="260">
        <v>4</v>
      </c>
      <c r="F322" t="s">
        <v>395</v>
      </c>
      <c r="G322" s="10" t="s">
        <v>397</v>
      </c>
      <c r="H322" s="10" t="s">
        <v>398</v>
      </c>
      <c r="I322" s="133" t="s">
        <v>399</v>
      </c>
      <c r="J322" s="133" t="s">
        <v>400</v>
      </c>
      <c r="K322" s="133" t="s">
        <v>401</v>
      </c>
      <c r="L322" s="133" t="s">
        <v>402</v>
      </c>
      <c r="M322" s="133" t="s">
        <v>403</v>
      </c>
      <c r="N322" s="133" t="s">
        <v>404</v>
      </c>
      <c r="O322" s="148" t="s">
        <v>405</v>
      </c>
      <c r="P322" s="148">
        <v>1</v>
      </c>
      <c r="Q322" s="148">
        <v>2</v>
      </c>
      <c r="R322" s="148">
        <v>3</v>
      </c>
      <c r="S322" s="148">
        <v>4</v>
      </c>
      <c r="T322" s="148">
        <v>5</v>
      </c>
    </row>
    <row r="323" spans="1:20" ht="15.75" hidden="1">
      <c r="A323" s="260">
        <v>4</v>
      </c>
      <c r="E323" s="123">
        <v>0</v>
      </c>
      <c r="F323" s="420">
        <f aca="true" t="shared" si="77" ref="F323:F334">IF(puntosproljorvarios4&lt;620,T323,O323)</f>
        <v>409</v>
      </c>
      <c r="G323" s="414">
        <v>409</v>
      </c>
      <c r="H323" s="414">
        <v>99</v>
      </c>
      <c r="I323" s="414">
        <v>0</v>
      </c>
      <c r="J323" s="414">
        <v>0</v>
      </c>
      <c r="K323" s="414">
        <v>0</v>
      </c>
      <c r="L323" s="414">
        <v>0</v>
      </c>
      <c r="M323" s="414">
        <v>99</v>
      </c>
      <c r="N323" s="414">
        <v>99</v>
      </c>
      <c r="O323" s="152">
        <f aca="true" t="shared" si="78" ref="O323:O334">IF(punbasjubvarios4&gt;971,N323,M323)</f>
        <v>99</v>
      </c>
      <c r="P323" s="152">
        <f aca="true" t="shared" si="79" ref="P323:P334">IF(punbasjubvarios4&lt;972,G323,H323)</f>
        <v>409</v>
      </c>
      <c r="Q323" s="152">
        <f aca="true" t="shared" si="80" ref="Q323:Q334">IF(punbasjubvarios4&lt;1170,P323,I323)</f>
        <v>409</v>
      </c>
      <c r="R323" s="152">
        <f aca="true" t="shared" si="81" ref="R323:R334">IF(punbasjubvarios4&lt;1401,Q323,J323)</f>
        <v>409</v>
      </c>
      <c r="S323" s="152">
        <f aca="true" t="shared" si="82" ref="S323:S334">IF(punbasjubvarios4&lt;1943,R323,K323)</f>
        <v>409</v>
      </c>
      <c r="T323" s="152">
        <f aca="true" t="shared" si="83" ref="T323:T334">IF(punbasjubvarios4&lt;=2220,S323,L323)</f>
        <v>409</v>
      </c>
    </row>
    <row r="324" spans="1:20" ht="15.75" hidden="1">
      <c r="A324" s="260">
        <v>4</v>
      </c>
      <c r="E324" s="124">
        <v>0.1</v>
      </c>
      <c r="F324" s="420">
        <f t="shared" si="77"/>
        <v>431</v>
      </c>
      <c r="G324" s="414">
        <v>431</v>
      </c>
      <c r="H324" s="414">
        <v>112</v>
      </c>
      <c r="I324" s="414">
        <v>0</v>
      </c>
      <c r="J324" s="414">
        <v>0</v>
      </c>
      <c r="K324" s="414">
        <v>0</v>
      </c>
      <c r="L324" s="414">
        <v>0</v>
      </c>
      <c r="M324" s="414">
        <v>112</v>
      </c>
      <c r="N324" s="414">
        <v>112</v>
      </c>
      <c r="O324" s="152">
        <f t="shared" si="78"/>
        <v>112</v>
      </c>
      <c r="P324" s="152">
        <f t="shared" si="79"/>
        <v>431</v>
      </c>
      <c r="Q324" s="152">
        <f t="shared" si="80"/>
        <v>431</v>
      </c>
      <c r="R324" s="152">
        <f t="shared" si="81"/>
        <v>431</v>
      </c>
      <c r="S324" s="152">
        <f t="shared" si="82"/>
        <v>431</v>
      </c>
      <c r="T324" s="152">
        <f t="shared" si="83"/>
        <v>431</v>
      </c>
    </row>
    <row r="325" spans="1:20" ht="15.75" hidden="1">
      <c r="A325" s="260">
        <v>4</v>
      </c>
      <c r="E325" s="125">
        <v>0.15</v>
      </c>
      <c r="F325" s="420">
        <f t="shared" si="77"/>
        <v>555</v>
      </c>
      <c r="G325" s="414">
        <v>555</v>
      </c>
      <c r="H325" s="414">
        <v>224</v>
      </c>
      <c r="I325" s="414">
        <v>298</v>
      </c>
      <c r="J325" s="414">
        <v>240</v>
      </c>
      <c r="K325" s="414">
        <v>224</v>
      </c>
      <c r="L325" s="414">
        <v>0</v>
      </c>
      <c r="M325" s="414">
        <v>273</v>
      </c>
      <c r="N325" s="414">
        <v>273</v>
      </c>
      <c r="O325" s="152">
        <f t="shared" si="78"/>
        <v>273</v>
      </c>
      <c r="P325" s="152">
        <f t="shared" si="79"/>
        <v>555</v>
      </c>
      <c r="Q325" s="152">
        <f t="shared" si="80"/>
        <v>555</v>
      </c>
      <c r="R325" s="152">
        <f t="shared" si="81"/>
        <v>555</v>
      </c>
      <c r="S325" s="152">
        <f t="shared" si="82"/>
        <v>555</v>
      </c>
      <c r="T325" s="152">
        <f t="shared" si="83"/>
        <v>555</v>
      </c>
    </row>
    <row r="326" spans="1:20" ht="15.75" hidden="1">
      <c r="A326" s="260">
        <v>4</v>
      </c>
      <c r="E326" s="125">
        <v>0.3</v>
      </c>
      <c r="F326" s="420">
        <f t="shared" si="77"/>
        <v>623</v>
      </c>
      <c r="G326" s="414">
        <v>623</v>
      </c>
      <c r="H326" s="414">
        <v>242</v>
      </c>
      <c r="I326" s="414">
        <v>298</v>
      </c>
      <c r="J326" s="414">
        <v>240</v>
      </c>
      <c r="K326" s="414">
        <v>224</v>
      </c>
      <c r="L326" s="414">
        <v>0</v>
      </c>
      <c r="M326" s="414">
        <v>472</v>
      </c>
      <c r="N326" s="414">
        <v>435</v>
      </c>
      <c r="O326" s="152">
        <f t="shared" si="78"/>
        <v>472</v>
      </c>
      <c r="P326" s="152">
        <f t="shared" si="79"/>
        <v>623</v>
      </c>
      <c r="Q326" s="152">
        <f t="shared" si="80"/>
        <v>623</v>
      </c>
      <c r="R326" s="152">
        <f t="shared" si="81"/>
        <v>623</v>
      </c>
      <c r="S326" s="152">
        <f t="shared" si="82"/>
        <v>623</v>
      </c>
      <c r="T326" s="152">
        <f t="shared" si="83"/>
        <v>623</v>
      </c>
    </row>
    <row r="327" spans="1:20" ht="15.75" hidden="1">
      <c r="A327" s="260">
        <v>4</v>
      </c>
      <c r="E327" s="125">
        <v>0.4</v>
      </c>
      <c r="F327" s="420">
        <f t="shared" si="77"/>
        <v>646</v>
      </c>
      <c r="G327" s="414">
        <v>646</v>
      </c>
      <c r="H327" s="414">
        <v>261</v>
      </c>
      <c r="I327" s="414">
        <v>311</v>
      </c>
      <c r="J327" s="414">
        <v>248</v>
      </c>
      <c r="K327" s="414">
        <v>224</v>
      </c>
      <c r="L327" s="414">
        <v>174</v>
      </c>
      <c r="M327" s="414">
        <v>546</v>
      </c>
      <c r="N327" s="414">
        <v>497</v>
      </c>
      <c r="O327" s="152">
        <f t="shared" si="78"/>
        <v>546</v>
      </c>
      <c r="P327" s="152">
        <f t="shared" si="79"/>
        <v>646</v>
      </c>
      <c r="Q327" s="152">
        <f t="shared" si="80"/>
        <v>646</v>
      </c>
      <c r="R327" s="152">
        <f t="shared" si="81"/>
        <v>646</v>
      </c>
      <c r="S327" s="152">
        <f t="shared" si="82"/>
        <v>646</v>
      </c>
      <c r="T327" s="152">
        <f t="shared" si="83"/>
        <v>646</v>
      </c>
    </row>
    <row r="328" spans="1:20" ht="15.75" hidden="1">
      <c r="A328" s="260">
        <v>4</v>
      </c>
      <c r="E328" s="125">
        <v>0.5</v>
      </c>
      <c r="F328" s="420">
        <f t="shared" si="77"/>
        <v>565</v>
      </c>
      <c r="G328" s="414">
        <v>565</v>
      </c>
      <c r="H328" s="414">
        <v>286</v>
      </c>
      <c r="I328" s="414">
        <v>311</v>
      </c>
      <c r="J328" s="414">
        <v>248</v>
      </c>
      <c r="K328" s="414">
        <v>224</v>
      </c>
      <c r="L328" s="414">
        <v>174</v>
      </c>
      <c r="M328" s="414">
        <v>590</v>
      </c>
      <c r="N328" s="414">
        <v>540</v>
      </c>
      <c r="O328" s="152">
        <f t="shared" si="78"/>
        <v>590</v>
      </c>
      <c r="P328" s="152">
        <f t="shared" si="79"/>
        <v>565</v>
      </c>
      <c r="Q328" s="152">
        <f t="shared" si="80"/>
        <v>565</v>
      </c>
      <c r="R328" s="152">
        <f t="shared" si="81"/>
        <v>565</v>
      </c>
      <c r="S328" s="152">
        <f t="shared" si="82"/>
        <v>565</v>
      </c>
      <c r="T328" s="152">
        <f t="shared" si="83"/>
        <v>565</v>
      </c>
    </row>
    <row r="329" spans="1:20" ht="15.75" hidden="1">
      <c r="A329" s="260">
        <v>4</v>
      </c>
      <c r="E329" s="125">
        <v>0.6</v>
      </c>
      <c r="F329" s="420">
        <f t="shared" si="77"/>
        <v>578</v>
      </c>
      <c r="G329" s="414">
        <v>578</v>
      </c>
      <c r="H329" s="414">
        <v>323</v>
      </c>
      <c r="I329" s="414">
        <v>323</v>
      </c>
      <c r="J329" s="414">
        <v>252</v>
      </c>
      <c r="K329" s="414">
        <v>236</v>
      </c>
      <c r="L329" s="414">
        <v>199</v>
      </c>
      <c r="M329" s="414">
        <v>633</v>
      </c>
      <c r="N329" s="414">
        <v>559</v>
      </c>
      <c r="O329" s="152">
        <f t="shared" si="78"/>
        <v>633</v>
      </c>
      <c r="P329" s="152">
        <f t="shared" si="79"/>
        <v>578</v>
      </c>
      <c r="Q329" s="152">
        <f t="shared" si="80"/>
        <v>578</v>
      </c>
      <c r="R329" s="152">
        <f t="shared" si="81"/>
        <v>578</v>
      </c>
      <c r="S329" s="152">
        <f t="shared" si="82"/>
        <v>578</v>
      </c>
      <c r="T329" s="152">
        <f t="shared" si="83"/>
        <v>578</v>
      </c>
    </row>
    <row r="330" spans="1:20" ht="15.75" hidden="1">
      <c r="A330" s="260">
        <v>4</v>
      </c>
      <c r="E330" s="125">
        <v>0.7</v>
      </c>
      <c r="F330" s="420">
        <f t="shared" si="77"/>
        <v>553</v>
      </c>
      <c r="G330" s="414">
        <v>553</v>
      </c>
      <c r="H330" s="414">
        <v>354</v>
      </c>
      <c r="I330" s="414">
        <v>453</v>
      </c>
      <c r="J330" s="414">
        <v>286</v>
      </c>
      <c r="K330" s="414">
        <v>236</v>
      </c>
      <c r="L330" s="414">
        <v>199</v>
      </c>
      <c r="M330" s="414">
        <v>652</v>
      </c>
      <c r="N330" s="414">
        <v>578</v>
      </c>
      <c r="O330" s="152">
        <f t="shared" si="78"/>
        <v>652</v>
      </c>
      <c r="P330" s="152">
        <f t="shared" si="79"/>
        <v>553</v>
      </c>
      <c r="Q330" s="152">
        <f t="shared" si="80"/>
        <v>553</v>
      </c>
      <c r="R330" s="152">
        <f t="shared" si="81"/>
        <v>553</v>
      </c>
      <c r="S330" s="152">
        <f t="shared" si="82"/>
        <v>553</v>
      </c>
      <c r="T330" s="152">
        <f t="shared" si="83"/>
        <v>553</v>
      </c>
    </row>
    <row r="331" spans="1:20" ht="15.75" hidden="1">
      <c r="A331" s="260">
        <v>4</v>
      </c>
      <c r="E331" s="125">
        <v>0.8</v>
      </c>
      <c r="F331" s="420">
        <f t="shared" si="77"/>
        <v>664</v>
      </c>
      <c r="G331" s="414">
        <v>664</v>
      </c>
      <c r="H331" s="414">
        <v>428</v>
      </c>
      <c r="I331" s="414">
        <v>491</v>
      </c>
      <c r="J331" s="414">
        <v>422</v>
      </c>
      <c r="K331" s="414">
        <v>348</v>
      </c>
      <c r="L331" s="414">
        <v>224</v>
      </c>
      <c r="M331" s="414">
        <v>689</v>
      </c>
      <c r="N331" s="414">
        <v>590</v>
      </c>
      <c r="O331" s="152">
        <f t="shared" si="78"/>
        <v>689</v>
      </c>
      <c r="P331" s="152">
        <f t="shared" si="79"/>
        <v>664</v>
      </c>
      <c r="Q331" s="152">
        <f t="shared" si="80"/>
        <v>664</v>
      </c>
      <c r="R331" s="152">
        <f t="shared" si="81"/>
        <v>664</v>
      </c>
      <c r="S331" s="152">
        <f t="shared" si="82"/>
        <v>664</v>
      </c>
      <c r="T331" s="152">
        <f t="shared" si="83"/>
        <v>664</v>
      </c>
    </row>
    <row r="332" spans="1:20" ht="15.75" hidden="1">
      <c r="A332" s="260">
        <v>4</v>
      </c>
      <c r="E332" s="125">
        <v>1</v>
      </c>
      <c r="F332" s="420">
        <f t="shared" si="77"/>
        <v>826</v>
      </c>
      <c r="G332" s="414">
        <v>826</v>
      </c>
      <c r="H332" s="414">
        <v>540</v>
      </c>
      <c r="I332" s="414">
        <v>509</v>
      </c>
      <c r="J332" s="414">
        <v>410</v>
      </c>
      <c r="K332" s="414">
        <v>385</v>
      </c>
      <c r="L332" s="414">
        <v>224</v>
      </c>
      <c r="M332" s="414">
        <v>733</v>
      </c>
      <c r="N332" s="414">
        <v>609</v>
      </c>
      <c r="O332" s="152">
        <f t="shared" si="78"/>
        <v>733</v>
      </c>
      <c r="P332" s="152">
        <f t="shared" si="79"/>
        <v>826</v>
      </c>
      <c r="Q332" s="152">
        <f t="shared" si="80"/>
        <v>826</v>
      </c>
      <c r="R332" s="152">
        <f t="shared" si="81"/>
        <v>826</v>
      </c>
      <c r="S332" s="152">
        <f t="shared" si="82"/>
        <v>826</v>
      </c>
      <c r="T332" s="152">
        <f t="shared" si="83"/>
        <v>826</v>
      </c>
    </row>
    <row r="333" spans="1:20" ht="15.75" hidden="1">
      <c r="A333" s="260">
        <v>4</v>
      </c>
      <c r="E333" s="125">
        <v>1.1</v>
      </c>
      <c r="F333" s="420">
        <f t="shared" si="77"/>
        <v>925</v>
      </c>
      <c r="G333" s="414">
        <v>925</v>
      </c>
      <c r="H333" s="414">
        <v>615</v>
      </c>
      <c r="I333" s="414">
        <v>534</v>
      </c>
      <c r="J333" s="414">
        <v>410</v>
      </c>
      <c r="K333" s="414">
        <v>397</v>
      </c>
      <c r="L333" s="414">
        <v>236</v>
      </c>
      <c r="M333" s="414">
        <v>764</v>
      </c>
      <c r="N333" s="414">
        <v>627</v>
      </c>
      <c r="O333" s="152">
        <f t="shared" si="78"/>
        <v>764</v>
      </c>
      <c r="P333" s="152">
        <f t="shared" si="79"/>
        <v>925</v>
      </c>
      <c r="Q333" s="152">
        <f t="shared" si="80"/>
        <v>925</v>
      </c>
      <c r="R333" s="152">
        <f t="shared" si="81"/>
        <v>925</v>
      </c>
      <c r="S333" s="152">
        <f t="shared" si="82"/>
        <v>925</v>
      </c>
      <c r="T333" s="152">
        <f t="shared" si="83"/>
        <v>925</v>
      </c>
    </row>
    <row r="334" spans="1:20" ht="16.5" hidden="1" thickBot="1">
      <c r="A334" s="260">
        <v>4</v>
      </c>
      <c r="E334" s="126">
        <v>1.2</v>
      </c>
      <c r="F334" s="420">
        <f t="shared" si="77"/>
        <v>956</v>
      </c>
      <c r="G334" s="414">
        <v>956</v>
      </c>
      <c r="H334" s="414">
        <v>633</v>
      </c>
      <c r="I334" s="414">
        <v>596</v>
      </c>
      <c r="J334" s="414">
        <v>416</v>
      </c>
      <c r="K334" s="414">
        <v>410</v>
      </c>
      <c r="L334" s="414">
        <v>236</v>
      </c>
      <c r="M334" s="414">
        <v>770</v>
      </c>
      <c r="N334" s="414">
        <v>633</v>
      </c>
      <c r="O334" s="152">
        <f t="shared" si="78"/>
        <v>770</v>
      </c>
      <c r="P334" s="152">
        <f t="shared" si="79"/>
        <v>956</v>
      </c>
      <c r="Q334" s="152">
        <f t="shared" si="80"/>
        <v>956</v>
      </c>
      <c r="R334" s="152">
        <f t="shared" si="81"/>
        <v>956</v>
      </c>
      <c r="S334" s="152">
        <f t="shared" si="82"/>
        <v>956</v>
      </c>
      <c r="T334" s="152">
        <f t="shared" si="83"/>
        <v>956</v>
      </c>
    </row>
    <row r="335" spans="1:20" s="255" customFormat="1" ht="15.75" hidden="1">
      <c r="A335" s="260">
        <v>4</v>
      </c>
      <c r="E335" s="256"/>
      <c r="F335" s="164"/>
      <c r="G335" s="164"/>
      <c r="H335" s="257"/>
      <c r="I335" s="258"/>
      <c r="J335" s="258"/>
      <c r="K335" s="164"/>
      <c r="L335" s="11"/>
      <c r="M335" s="135"/>
      <c r="N335" s="135"/>
      <c r="O335" s="135"/>
      <c r="P335" s="135"/>
      <c r="Q335" s="135"/>
      <c r="R335" s="135"/>
      <c r="S335" s="135"/>
      <c r="T335" s="135"/>
    </row>
    <row r="336" spans="1:20" s="255" customFormat="1" ht="15.75" hidden="1">
      <c r="A336" s="260">
        <v>4</v>
      </c>
      <c r="E336" s="256"/>
      <c r="F336" s="164" t="s">
        <v>447</v>
      </c>
      <c r="G336" s="164">
        <f>LOOKUP(F352,porantvar4,cod06cargosvar4jul10)</f>
        <v>956</v>
      </c>
      <c r="H336" s="257"/>
      <c r="I336" s="258"/>
      <c r="J336" s="258"/>
      <c r="K336" s="164"/>
      <c r="L336" s="11"/>
      <c r="M336" s="135"/>
      <c r="N336" s="135"/>
      <c r="O336" s="135"/>
      <c r="P336" s="135"/>
      <c r="Q336" s="135"/>
      <c r="R336" s="135"/>
      <c r="S336" s="135"/>
      <c r="T336" s="135"/>
    </row>
    <row r="337" spans="1:20" s="255" customFormat="1" ht="15.75" hidden="1">
      <c r="A337" s="260"/>
      <c r="E337" s="256"/>
      <c r="F337" s="164"/>
      <c r="G337" s="164"/>
      <c r="H337" s="257"/>
      <c r="I337" s="258"/>
      <c r="J337" s="258"/>
      <c r="K337" s="164"/>
      <c r="L337" s="11"/>
      <c r="M337" s="135"/>
      <c r="N337" s="135"/>
      <c r="O337" s="135"/>
      <c r="P337" s="135"/>
      <c r="Q337" s="135"/>
      <c r="R337" s="135"/>
      <c r="S337" s="135"/>
      <c r="T337" s="135"/>
    </row>
    <row r="338" s="260" customFormat="1" ht="12.75" hidden="1">
      <c r="A338" s="260">
        <v>4</v>
      </c>
    </row>
    <row r="339" ht="12.75" hidden="1">
      <c r="A339" s="260">
        <v>4</v>
      </c>
    </row>
    <row r="340" spans="1:15" ht="12.75">
      <c r="A340" s="294">
        <v>4</v>
      </c>
      <c r="B340" s="295"/>
      <c r="C340" s="295"/>
      <c r="D340" s="295"/>
      <c r="E340" s="295"/>
      <c r="F340" s="295"/>
      <c r="G340" s="295"/>
      <c r="H340" s="295"/>
      <c r="I340" s="295"/>
      <c r="J340" s="295"/>
      <c r="K340" s="295"/>
      <c r="L340" s="295"/>
      <c r="M340" s="295"/>
      <c r="N340" s="295"/>
      <c r="O340" s="295"/>
    </row>
    <row r="341" spans="1:17" ht="20.25">
      <c r="A341" s="294">
        <v>4</v>
      </c>
      <c r="B341" s="194"/>
      <c r="C341" s="195"/>
      <c r="D341" s="195"/>
      <c r="E341" s="80" t="s">
        <v>390</v>
      </c>
      <c r="F341" s="10"/>
      <c r="G341" s="10"/>
      <c r="H341" s="195"/>
      <c r="I341" s="195"/>
      <c r="J341" s="195"/>
      <c r="K341" s="195"/>
      <c r="L341" s="195"/>
      <c r="M341" s="195"/>
      <c r="N341" s="193"/>
      <c r="O341" s="302"/>
      <c r="P341" s="164"/>
      <c r="Q341" s="164"/>
    </row>
    <row r="342" spans="1:17" ht="12.75">
      <c r="A342" s="294">
        <v>4</v>
      </c>
      <c r="B342" s="194"/>
      <c r="C342" s="194"/>
      <c r="D342" s="194"/>
      <c r="E342" s="194"/>
      <c r="F342" s="194"/>
      <c r="G342" s="194"/>
      <c r="H342" s="297"/>
      <c r="I342" s="194"/>
      <c r="J342" s="194"/>
      <c r="K342" s="194"/>
      <c r="L342" s="194"/>
      <c r="M342" s="194"/>
      <c r="N342" s="193"/>
      <c r="O342" s="302"/>
      <c r="P342" s="164"/>
      <c r="Q342" s="164"/>
    </row>
    <row r="343" spans="1:17" ht="12.75">
      <c r="A343" s="294">
        <v>4</v>
      </c>
      <c r="B343" s="295"/>
      <c r="C343" s="295"/>
      <c r="D343" s="44" t="s">
        <v>37</v>
      </c>
      <c r="E343" s="44" t="s">
        <v>341</v>
      </c>
      <c r="F343" s="44" t="s">
        <v>342</v>
      </c>
      <c r="G343" s="44" t="s">
        <v>343</v>
      </c>
      <c r="H343" s="44" t="s">
        <v>344</v>
      </c>
      <c r="I343" s="100" t="s">
        <v>406</v>
      </c>
      <c r="J343" s="194"/>
      <c r="K343" s="194"/>
      <c r="L343" s="194"/>
      <c r="M343" s="194"/>
      <c r="N343" s="193"/>
      <c r="O343" s="302"/>
      <c r="P343" s="164"/>
      <c r="Q343" s="164"/>
    </row>
    <row r="344" spans="1:17" ht="16.5" thickBot="1">
      <c r="A344" s="294">
        <v>4</v>
      </c>
      <c r="B344" s="295"/>
      <c r="C344" s="295"/>
      <c r="D344" s="117">
        <v>749</v>
      </c>
      <c r="E344" s="81">
        <f>LOOKUP(D344,[0]!numerocargo,[0]!puntosbasicoscargo)</f>
        <v>971</v>
      </c>
      <c r="F344" s="81">
        <f>LOOKUP(D344,[0]!numerocargo,[0]!tardifcargo)</f>
        <v>0</v>
      </c>
      <c r="G344" s="81">
        <f>LOOKUP(D344,[0]!numerocargo,[0]!proljorcargo)</f>
        <v>0</v>
      </c>
      <c r="H344" s="81">
        <f>LOOKUP(D344,[0]!numerocargo,[0]!jorcomcargo)</f>
        <v>0</v>
      </c>
      <c r="I344" s="44">
        <f>LOOKUP(D344,Cargos!A3:A314,puntoscompbasico)</f>
        <v>170</v>
      </c>
      <c r="J344" s="194"/>
      <c r="K344" s="194"/>
      <c r="L344" s="194"/>
      <c r="M344" s="194"/>
      <c r="N344" s="193"/>
      <c r="O344" s="302"/>
      <c r="P344" s="164"/>
      <c r="Q344" s="164"/>
    </row>
    <row r="345" spans="1:17" ht="13.5" thickBot="1">
      <c r="A345" s="294">
        <v>4</v>
      </c>
      <c r="B345" s="295"/>
      <c r="C345" s="295"/>
      <c r="D345" s="82" t="s">
        <v>38</v>
      </c>
      <c r="E345" s="83" t="str">
        <f>LOOKUP(D344,[0]!numerocargo,[0]!nombrecargo)</f>
        <v> MAESTRO DE GRADO</v>
      </c>
      <c r="F345" s="42"/>
      <c r="G345" s="42"/>
      <c r="H345" s="62"/>
      <c r="I345" s="194"/>
      <c r="J345" s="194"/>
      <c r="K345" s="194"/>
      <c r="L345" s="194"/>
      <c r="M345" s="194"/>
      <c r="N345" s="193"/>
      <c r="O345" s="302"/>
      <c r="P345" s="164"/>
      <c r="Q345" s="164"/>
    </row>
    <row r="346" spans="1:17" ht="13.5" thickBot="1">
      <c r="A346" s="294">
        <v>4</v>
      </c>
      <c r="B346" s="295"/>
      <c r="C346" s="295"/>
      <c r="D346" s="296"/>
      <c r="E346" s="297"/>
      <c r="F346" s="194"/>
      <c r="G346" s="194"/>
      <c r="H346" s="194"/>
      <c r="I346" s="128" t="s">
        <v>364</v>
      </c>
      <c r="J346" s="303"/>
      <c r="K346" s="303"/>
      <c r="L346" s="303"/>
      <c r="M346" s="194"/>
      <c r="N346" s="194"/>
      <c r="O346" s="194"/>
      <c r="P346" s="10"/>
      <c r="Q346" s="10"/>
    </row>
    <row r="347" spans="1:17" ht="19.5" thickBot="1" thickTop="1">
      <c r="A347" s="294">
        <v>4</v>
      </c>
      <c r="B347" s="295"/>
      <c r="C347" s="295"/>
      <c r="D347" s="165" t="s">
        <v>358</v>
      </c>
      <c r="E347" s="122"/>
      <c r="F347" s="122"/>
      <c r="G347" s="122"/>
      <c r="H347" s="166">
        <v>0</v>
      </c>
      <c r="I347" s="129">
        <f>H347/120</f>
        <v>0</v>
      </c>
      <c r="J347" s="297"/>
      <c r="K347" s="297"/>
      <c r="L347" s="297"/>
      <c r="M347" s="194"/>
      <c r="N347" s="194"/>
      <c r="O347" s="194"/>
      <c r="P347" s="10"/>
      <c r="Q347" s="10"/>
    </row>
    <row r="348" spans="1:17" ht="17.25" thickBot="1" thickTop="1">
      <c r="A348" s="294">
        <v>4</v>
      </c>
      <c r="B348" s="296"/>
      <c r="C348" s="297"/>
      <c r="D348" s="194"/>
      <c r="E348" s="194"/>
      <c r="F348" s="371"/>
      <c r="G348" s="194"/>
      <c r="H348" s="297"/>
      <c r="I348" s="194"/>
      <c r="J348" s="194"/>
      <c r="K348" s="194"/>
      <c r="L348" s="194"/>
      <c r="M348" s="194"/>
      <c r="N348" s="194"/>
      <c r="O348" s="194"/>
      <c r="P348" s="10"/>
      <c r="Q348" s="10"/>
    </row>
    <row r="349" spans="1:17" ht="17.25" thickBot="1" thickTop="1">
      <c r="A349" s="294">
        <v>4</v>
      </c>
      <c r="B349" s="296"/>
      <c r="C349" s="295"/>
      <c r="D349" s="120" t="s">
        <v>366</v>
      </c>
      <c r="E349" s="132">
        <v>0</v>
      </c>
      <c r="F349" s="371"/>
      <c r="G349" s="194"/>
      <c r="H349" s="297"/>
      <c r="I349" s="194"/>
      <c r="J349" s="194"/>
      <c r="K349" s="194"/>
      <c r="L349" s="194"/>
      <c r="M349" s="194"/>
      <c r="N349" s="194"/>
      <c r="O349" s="194"/>
      <c r="P349" s="10"/>
      <c r="Q349" s="10"/>
    </row>
    <row r="350" spans="1:17" ht="14.25" thickBot="1" thickTop="1">
      <c r="A350" s="294">
        <v>4</v>
      </c>
      <c r="B350" s="296"/>
      <c r="C350" s="297"/>
      <c r="D350" s="194"/>
      <c r="E350" s="194"/>
      <c r="F350" s="194"/>
      <c r="G350" s="194"/>
      <c r="H350" s="297"/>
      <c r="I350" s="194"/>
      <c r="J350" s="194"/>
      <c r="K350" s="194"/>
      <c r="L350" s="194"/>
      <c r="M350" s="194"/>
      <c r="N350" s="194"/>
      <c r="O350" s="194"/>
      <c r="P350" s="10"/>
      <c r="Q350" s="10"/>
    </row>
    <row r="351" spans="1:17" ht="16.5" thickBot="1">
      <c r="A351" s="294">
        <v>4</v>
      </c>
      <c r="B351" s="194"/>
      <c r="C351" s="195"/>
      <c r="D351" s="84" t="s">
        <v>13</v>
      </c>
      <c r="E351" s="42"/>
      <c r="F351" s="85">
        <f>E344*indicefeb09</f>
        <v>725.337</v>
      </c>
      <c r="G351" s="10"/>
      <c r="H351" s="10"/>
      <c r="I351" s="195"/>
      <c r="J351" s="195"/>
      <c r="K351" s="195"/>
      <c r="L351" s="195"/>
      <c r="M351" s="196"/>
      <c r="N351" s="196"/>
      <c r="O351" s="195"/>
      <c r="P351" s="10"/>
      <c r="Q351" s="10"/>
    </row>
    <row r="352" spans="1:17" ht="16.5" thickBot="1">
      <c r="A352" s="294">
        <v>4</v>
      </c>
      <c r="B352" s="194"/>
      <c r="C352" s="195"/>
      <c r="D352" s="84" t="s">
        <v>14</v>
      </c>
      <c r="E352" s="42"/>
      <c r="F352" s="119">
        <v>1.2</v>
      </c>
      <c r="G352" s="10" t="s">
        <v>15</v>
      </c>
      <c r="H352" s="10"/>
      <c r="I352" s="195"/>
      <c r="J352" s="195"/>
      <c r="K352" s="195"/>
      <c r="L352" s="195"/>
      <c r="M352" s="195"/>
      <c r="N352" s="196"/>
      <c r="O352" s="195"/>
      <c r="P352" s="10"/>
      <c r="Q352" s="10"/>
    </row>
    <row r="353" spans="1:17" ht="15.75">
      <c r="A353" s="294">
        <v>4</v>
      </c>
      <c r="B353" s="194"/>
      <c r="C353" s="195"/>
      <c r="D353" s="194"/>
      <c r="E353" s="194"/>
      <c r="F353" s="197"/>
      <c r="G353" s="195"/>
      <c r="H353" s="195"/>
      <c r="I353" s="195"/>
      <c r="J353" s="195"/>
      <c r="K353" s="195"/>
      <c r="L353" s="195"/>
      <c r="M353" s="195"/>
      <c r="N353" s="198"/>
      <c r="O353" s="195"/>
      <c r="P353" s="10"/>
      <c r="Q353" s="10"/>
    </row>
    <row r="354" spans="1:17" ht="18.75" thickBot="1">
      <c r="A354" s="294">
        <v>4</v>
      </c>
      <c r="B354" s="194"/>
      <c r="C354" s="195"/>
      <c r="D354" s="87" t="s">
        <v>16</v>
      </c>
      <c r="E354" s="87"/>
      <c r="F354" s="88">
        <f>E344</f>
        <v>971</v>
      </c>
      <c r="G354" s="10" t="s">
        <v>17</v>
      </c>
      <c r="H354" s="195"/>
      <c r="I354" s="86">
        <f>H344+G344</f>
        <v>0</v>
      </c>
      <c r="J354" s="196"/>
      <c r="K354" s="196"/>
      <c r="L354" s="196"/>
      <c r="M354" s="194"/>
      <c r="N354" s="195"/>
      <c r="O354" s="195"/>
      <c r="P354" s="10"/>
      <c r="Q354" s="10"/>
    </row>
    <row r="355" spans="1:17" ht="15.75">
      <c r="A355" s="294">
        <v>4</v>
      </c>
      <c r="B355" s="194"/>
      <c r="C355" s="195"/>
      <c r="D355" s="194"/>
      <c r="E355" s="194"/>
      <c r="F355" s="197"/>
      <c r="G355" s="195"/>
      <c r="H355" s="195"/>
      <c r="I355" s="194"/>
      <c r="J355" s="194"/>
      <c r="K355" s="194"/>
      <c r="L355" s="194"/>
      <c r="M355" s="372"/>
      <c r="N355" s="195"/>
      <c r="O355" s="195"/>
      <c r="P355" s="10"/>
      <c r="Q355" s="10"/>
    </row>
    <row r="356" spans="1:15" ht="15.75">
      <c r="A356" s="294">
        <v>4</v>
      </c>
      <c r="B356" s="194"/>
      <c r="C356" s="195"/>
      <c r="D356" s="10"/>
      <c r="E356" s="157" t="s">
        <v>428</v>
      </c>
      <c r="F356" s="10"/>
      <c r="G356" s="295"/>
      <c r="H356" s="10"/>
      <c r="I356" s="157" t="s">
        <v>448</v>
      </c>
      <c r="J356" s="10"/>
      <c r="K356" s="295"/>
      <c r="L356" s="10"/>
      <c r="M356" s="157" t="s">
        <v>449</v>
      </c>
      <c r="N356" s="10"/>
      <c r="O356" s="295"/>
    </row>
    <row r="357" spans="1:15" ht="12.75">
      <c r="A357" s="294">
        <v>4</v>
      </c>
      <c r="B357" s="194"/>
      <c r="C357" s="295"/>
      <c r="D357" s="17">
        <v>400</v>
      </c>
      <c r="E357" s="17" t="s">
        <v>18</v>
      </c>
      <c r="F357" s="89">
        <f>punbasjubvarios4*indicefeb09*porjubvarcar*frac4</f>
        <v>0</v>
      </c>
      <c r="G357" s="295"/>
      <c r="H357" s="17">
        <v>400</v>
      </c>
      <c r="I357" s="17" t="s">
        <v>18</v>
      </c>
      <c r="J357" s="89">
        <f>punbasjubvarios4*indicemar2010*porjubvarcar*frac4</f>
        <v>0</v>
      </c>
      <c r="K357" s="295"/>
      <c r="L357" s="17">
        <v>400</v>
      </c>
      <c r="M357" s="17" t="s">
        <v>18</v>
      </c>
      <c r="N357" s="89">
        <f>punbasjubvarios4*indicejul2010*porjubvarcar*frac4</f>
        <v>0</v>
      </c>
      <c r="O357" s="295"/>
    </row>
    <row r="358" spans="1:15" ht="12.75" hidden="1">
      <c r="A358" s="294">
        <v>4</v>
      </c>
      <c r="B358" s="194"/>
      <c r="C358" s="295"/>
      <c r="D358" s="17">
        <v>542</v>
      </c>
      <c r="E358" s="17" t="s">
        <v>418</v>
      </c>
      <c r="F358" s="241">
        <f>compbasicovarios4*indicefeb09*porjubvarcar*frac4</f>
        <v>0</v>
      </c>
      <c r="G358" s="295"/>
      <c r="H358" s="17">
        <v>542</v>
      </c>
      <c r="I358" s="17" t="s">
        <v>418</v>
      </c>
      <c r="J358" s="241">
        <f>compbasicovarios4*indicemar2010*porjubvarcar*frac4</f>
        <v>0</v>
      </c>
      <c r="K358" s="295"/>
      <c r="L358" s="17">
        <v>542</v>
      </c>
      <c r="M358" s="17" t="s">
        <v>418</v>
      </c>
      <c r="N358" s="241">
        <f>compbasicovarios4*indicejul2010*porjubvarcar*frac4</f>
        <v>0</v>
      </c>
      <c r="O358" s="295"/>
    </row>
    <row r="359" spans="1:14" ht="12.75" hidden="1">
      <c r="A359" s="294">
        <v>4</v>
      </c>
      <c r="B359" s="194"/>
      <c r="C359" s="295"/>
      <c r="D359" s="17">
        <v>404</v>
      </c>
      <c r="E359" s="17" t="s">
        <v>346</v>
      </c>
      <c r="F359" s="89">
        <f>puntardifvar4*indicefeb09*porjubvarcar*frac4</f>
        <v>0</v>
      </c>
      <c r="G359" s="295"/>
      <c r="H359" s="17">
        <v>404</v>
      </c>
      <c r="I359" s="17" t="s">
        <v>346</v>
      </c>
      <c r="J359" s="89">
        <f>puntardifvar4*indicemar2010*porjubvarcar*frac4</f>
        <v>0</v>
      </c>
      <c r="L359" s="17">
        <v>404</v>
      </c>
      <c r="M359" s="17" t="s">
        <v>346</v>
      </c>
      <c r="N359" s="89">
        <f>puntardifvar4*indicejul2010*porjubvarcar*frac4</f>
        <v>0</v>
      </c>
    </row>
    <row r="360" spans="1:14" ht="12.75" hidden="1">
      <c r="A360" s="294">
        <v>4</v>
      </c>
      <c r="B360" s="194"/>
      <c r="C360" s="295"/>
      <c r="D360" s="17">
        <v>406</v>
      </c>
      <c r="E360" s="17" t="s">
        <v>19</v>
      </c>
      <c r="F360" s="89">
        <f>(F357+F358+F359+F362)*F352</f>
        <v>0</v>
      </c>
      <c r="G360" s="295"/>
      <c r="H360" s="17">
        <v>406</v>
      </c>
      <c r="I360" s="17" t="s">
        <v>19</v>
      </c>
      <c r="J360" s="89">
        <f>(J357+J358+J359+J362)*F352</f>
        <v>0</v>
      </c>
      <c r="L360" s="17">
        <v>406</v>
      </c>
      <c r="M360" s="17" t="s">
        <v>19</v>
      </c>
      <c r="N360" s="89">
        <f>(N357+N358+N359+N362)*F352</f>
        <v>0</v>
      </c>
    </row>
    <row r="361" spans="1:14" ht="12.75" hidden="1">
      <c r="A361" s="294">
        <v>4</v>
      </c>
      <c r="B361" s="194"/>
      <c r="C361" s="295"/>
      <c r="D361" s="17">
        <v>408</v>
      </c>
      <c r="E361" s="17" t="s">
        <v>365</v>
      </c>
      <c r="F361" s="89">
        <f>(F357+F358+F359+F362)*E349</f>
        <v>0</v>
      </c>
      <c r="G361" s="295"/>
      <c r="H361" s="17">
        <v>408</v>
      </c>
      <c r="I361" s="17" t="s">
        <v>365</v>
      </c>
      <c r="J361" s="89">
        <f>(J357+J358+J359+J362)*E349</f>
        <v>0</v>
      </c>
      <c r="L361" s="17">
        <v>408</v>
      </c>
      <c r="M361" s="17" t="s">
        <v>365</v>
      </c>
      <c r="N361" s="89">
        <f>(N357+N358+N359+N362)*E349</f>
        <v>0</v>
      </c>
    </row>
    <row r="362" spans="1:14" ht="12.75" hidden="1">
      <c r="A362" s="294">
        <v>4</v>
      </c>
      <c r="B362" s="194"/>
      <c r="C362" s="295"/>
      <c r="D362" s="17">
        <v>416</v>
      </c>
      <c r="E362" s="97" t="s">
        <v>347</v>
      </c>
      <c r="F362" s="89">
        <f>puntosproljorvarios4*proljorfeb09*porjubvarcar*frac4</f>
        <v>0</v>
      </c>
      <c r="G362" s="295"/>
      <c r="H362" s="17">
        <v>416</v>
      </c>
      <c r="I362" s="97" t="s">
        <v>347</v>
      </c>
      <c r="J362" s="89">
        <f>puntosproljorvarios4*proljormar2010*porjubvarcar*frac4</f>
        <v>0</v>
      </c>
      <c r="L362" s="17">
        <v>416</v>
      </c>
      <c r="M362" s="97" t="s">
        <v>347</v>
      </c>
      <c r="N362" s="89">
        <f>puntosproljorvarios4*proljorjul2010*porjubvarcar*frac4</f>
        <v>0</v>
      </c>
    </row>
    <row r="363" spans="1:14" ht="12.75" hidden="1">
      <c r="A363" s="294">
        <v>4</v>
      </c>
      <c r="B363" s="194"/>
      <c r="C363" s="295"/>
      <c r="D363" s="17">
        <v>432</v>
      </c>
      <c r="E363" s="17" t="s">
        <v>363</v>
      </c>
      <c r="F363" s="89">
        <f>cod06mar09varios4*porjubvarcar*frac4</f>
        <v>0</v>
      </c>
      <c r="G363" s="295"/>
      <c r="H363" s="17">
        <v>432</v>
      </c>
      <c r="I363" s="17" t="s">
        <v>363</v>
      </c>
      <c r="J363" s="89">
        <f>cod06mar10varios4*porjubvarcar*frac4</f>
        <v>0</v>
      </c>
      <c r="L363" s="17">
        <v>432</v>
      </c>
      <c r="M363" s="17" t="s">
        <v>363</v>
      </c>
      <c r="N363" s="89">
        <f>cod06jul10varios4*porjubvarcar*frac4</f>
        <v>0</v>
      </c>
    </row>
    <row r="364" spans="1:14" ht="12.75" hidden="1">
      <c r="A364" s="294">
        <v>4</v>
      </c>
      <c r="B364" s="194"/>
      <c r="C364" s="295"/>
      <c r="D364" s="17">
        <v>434</v>
      </c>
      <c r="E364" s="17" t="s">
        <v>345</v>
      </c>
      <c r="F364" s="89">
        <f>(F357+F358+F359+F360+F362+F363+F361)*0.07*0.95</f>
        <v>0</v>
      </c>
      <c r="G364" s="295"/>
      <c r="H364" s="17">
        <v>434</v>
      </c>
      <c r="I364" s="17" t="s">
        <v>345</v>
      </c>
      <c r="J364" s="89">
        <f>(J357+J358+J359+J360+J362+J363+J361)*0.07*0.95</f>
        <v>0</v>
      </c>
      <c r="L364" s="17">
        <v>434</v>
      </c>
      <c r="M364" s="17" t="s">
        <v>345</v>
      </c>
      <c r="N364" s="89">
        <f>(N357+N358+N359+N360+N362+N363+N361)*0.07*0.95</f>
        <v>0</v>
      </c>
    </row>
    <row r="365" spans="1:14" ht="12.75" hidden="1">
      <c r="A365" s="294">
        <v>4</v>
      </c>
      <c r="B365" s="194"/>
      <c r="C365" s="295"/>
      <c r="D365" s="17"/>
      <c r="E365" s="91"/>
      <c r="F365" s="171"/>
      <c r="G365" s="295"/>
      <c r="H365" s="17"/>
      <c r="I365" s="91"/>
      <c r="J365" s="171"/>
      <c r="L365" s="17"/>
      <c r="M365" s="91"/>
      <c r="N365" s="171"/>
    </row>
    <row r="366" spans="1:14" ht="13.5" hidden="1" thickBot="1">
      <c r="A366" s="294">
        <v>4</v>
      </c>
      <c r="B366" s="194"/>
      <c r="C366" s="295"/>
      <c r="D366" s="17"/>
      <c r="E366" s="91" t="s">
        <v>361</v>
      </c>
      <c r="F366" s="118">
        <v>0</v>
      </c>
      <c r="G366" s="295"/>
      <c r="H366" s="17"/>
      <c r="I366" s="91" t="s">
        <v>361</v>
      </c>
      <c r="J366" s="118">
        <v>0</v>
      </c>
      <c r="L366" s="17"/>
      <c r="M366" s="91" t="s">
        <v>361</v>
      </c>
      <c r="N366" s="118">
        <v>0</v>
      </c>
    </row>
    <row r="367" spans="1:14" ht="16.5" hidden="1" thickBot="1">
      <c r="A367" s="294">
        <v>4</v>
      </c>
      <c r="B367" s="194"/>
      <c r="C367" s="295"/>
      <c r="D367" s="92"/>
      <c r="E367" s="93" t="s">
        <v>20</v>
      </c>
      <c r="F367" s="94">
        <f>SUM(F357:F366)</f>
        <v>0</v>
      </c>
      <c r="G367" s="295"/>
      <c r="H367" s="92"/>
      <c r="I367" s="93" t="s">
        <v>20</v>
      </c>
      <c r="J367" s="94">
        <f>SUM(J357:J366)</f>
        <v>0</v>
      </c>
      <c r="L367" s="92"/>
      <c r="M367" s="93" t="s">
        <v>20</v>
      </c>
      <c r="N367" s="94">
        <f>SUM(N357:N366)</f>
        <v>0</v>
      </c>
    </row>
    <row r="368" spans="1:14" ht="12.75" hidden="1">
      <c r="A368" s="294">
        <v>4</v>
      </c>
      <c r="B368" s="194"/>
      <c r="C368" s="295"/>
      <c r="D368" s="17">
        <v>703</v>
      </c>
      <c r="E368" s="95" t="s">
        <v>348</v>
      </c>
      <c r="F368" s="96">
        <f>(F367-F366)*0.0025</f>
        <v>0</v>
      </c>
      <c r="G368" s="295"/>
      <c r="H368" s="17">
        <v>703</v>
      </c>
      <c r="I368" s="95" t="s">
        <v>348</v>
      </c>
      <c r="J368" s="96">
        <f>(J367-J366)*0.0025</f>
        <v>0</v>
      </c>
      <c r="L368" s="17">
        <v>703</v>
      </c>
      <c r="M368" s="95" t="s">
        <v>348</v>
      </c>
      <c r="N368" s="96">
        <f>(N367-N366)*0.0025</f>
        <v>0</v>
      </c>
    </row>
    <row r="369" spans="1:14" ht="12.75" hidden="1">
      <c r="A369" s="294">
        <v>4</v>
      </c>
      <c r="B369" s="194"/>
      <c r="C369" s="295"/>
      <c r="D369" s="18">
        <v>707</v>
      </c>
      <c r="E369" s="97" t="s">
        <v>22</v>
      </c>
      <c r="F369" s="16">
        <f>(F367-F366)*0.03</f>
        <v>0</v>
      </c>
      <c r="G369" s="295"/>
      <c r="H369" s="18">
        <v>707</v>
      </c>
      <c r="I369" s="97" t="s">
        <v>22</v>
      </c>
      <c r="J369" s="16">
        <f>(J367-J366)*0.03</f>
        <v>0</v>
      </c>
      <c r="L369" s="18">
        <v>707</v>
      </c>
      <c r="M369" s="97" t="s">
        <v>22</v>
      </c>
      <c r="N369" s="16">
        <f>(N367-N366)*0.03</f>
        <v>0</v>
      </c>
    </row>
    <row r="370" spans="1:14" ht="12.75" hidden="1">
      <c r="A370" s="294">
        <v>4</v>
      </c>
      <c r="B370" s="194"/>
      <c r="C370" s="295"/>
      <c r="D370" s="18">
        <v>709</v>
      </c>
      <c r="E370" s="97" t="s">
        <v>23</v>
      </c>
      <c r="F370" s="16">
        <f>(F367-F366)*0.0213</f>
        <v>0</v>
      </c>
      <c r="G370" s="295"/>
      <c r="H370" s="18">
        <v>709</v>
      </c>
      <c r="I370" s="97" t="s">
        <v>23</v>
      </c>
      <c r="J370" s="16">
        <f>(J367-J366)*0.0213</f>
        <v>0</v>
      </c>
      <c r="L370" s="18">
        <v>709</v>
      </c>
      <c r="M370" s="97" t="s">
        <v>23</v>
      </c>
      <c r="N370" s="16">
        <f>(N367-N366)*0.0213</f>
        <v>0</v>
      </c>
    </row>
    <row r="371" spans="1:14" ht="12.75" hidden="1">
      <c r="A371" s="294">
        <v>4</v>
      </c>
      <c r="B371" s="194"/>
      <c r="C371" s="295"/>
      <c r="D371" s="15">
        <v>710</v>
      </c>
      <c r="E371" s="97" t="s">
        <v>24</v>
      </c>
      <c r="F371" s="16">
        <f>(F367-F366)*0.00754</f>
        <v>0</v>
      </c>
      <c r="G371" s="295"/>
      <c r="H371" s="15">
        <v>710</v>
      </c>
      <c r="I371" s="97" t="s">
        <v>24</v>
      </c>
      <c r="J371" s="16">
        <f>(J367-J366)*0.00754</f>
        <v>0</v>
      </c>
      <c r="L371" s="15">
        <v>710</v>
      </c>
      <c r="M371" s="97" t="s">
        <v>24</v>
      </c>
      <c r="N371" s="16">
        <f>(N367-N366)*0.00754</f>
        <v>0</v>
      </c>
    </row>
    <row r="372" spans="1:14" ht="12.75" hidden="1">
      <c r="A372" s="294">
        <v>4</v>
      </c>
      <c r="B372" s="194"/>
      <c r="C372" s="295"/>
      <c r="D372" s="15">
        <v>713</v>
      </c>
      <c r="E372" s="97" t="s">
        <v>25</v>
      </c>
      <c r="F372" s="16">
        <f>(F367-F366)*0.007</f>
        <v>0</v>
      </c>
      <c r="G372" s="295"/>
      <c r="H372" s="15">
        <v>713</v>
      </c>
      <c r="I372" s="97" t="s">
        <v>25</v>
      </c>
      <c r="J372" s="16">
        <f>(J367-J366)*0.007</f>
        <v>0</v>
      </c>
      <c r="L372" s="15">
        <v>713</v>
      </c>
      <c r="M372" s="97" t="s">
        <v>25</v>
      </c>
      <c r="N372" s="16">
        <f>(N367-N366)*0.007</f>
        <v>0</v>
      </c>
    </row>
    <row r="373" spans="1:14" ht="13.5" hidden="1" thickBot="1">
      <c r="A373" s="294">
        <v>4</v>
      </c>
      <c r="B373" s="194"/>
      <c r="C373" s="295"/>
      <c r="D373" s="15"/>
      <c r="E373" s="98" t="s">
        <v>26</v>
      </c>
      <c r="F373" s="48">
        <v>0</v>
      </c>
      <c r="G373" s="295"/>
      <c r="H373" s="15"/>
      <c r="I373" s="98" t="s">
        <v>26</v>
      </c>
      <c r="J373" s="48">
        <v>0</v>
      </c>
      <c r="L373" s="15"/>
      <c r="M373" s="98" t="s">
        <v>26</v>
      </c>
      <c r="N373" s="48">
        <v>0</v>
      </c>
    </row>
    <row r="374" spans="1:14" ht="16.5" hidden="1" thickBot="1">
      <c r="A374" s="294">
        <v>4</v>
      </c>
      <c r="B374" s="194"/>
      <c r="C374" s="295"/>
      <c r="D374" s="99"/>
      <c r="E374" s="93" t="s">
        <v>27</v>
      </c>
      <c r="F374" s="94">
        <f>SUM(F368:F373)</f>
        <v>0</v>
      </c>
      <c r="G374" s="295"/>
      <c r="H374" s="99"/>
      <c r="I374" s="93" t="s">
        <v>27</v>
      </c>
      <c r="J374" s="94">
        <f>SUM(J368:J373)</f>
        <v>0</v>
      </c>
      <c r="L374" s="99"/>
      <c r="M374" s="93" t="s">
        <v>27</v>
      </c>
      <c r="N374" s="94">
        <f>SUM(N368:N373)</f>
        <v>0</v>
      </c>
    </row>
    <row r="375" spans="1:14" ht="13.5" hidden="1" thickBot="1">
      <c r="A375" s="294">
        <v>4</v>
      </c>
      <c r="B375" s="194"/>
      <c r="C375" s="295"/>
      <c r="D375" s="100"/>
      <c r="E375" s="101"/>
      <c r="F375" s="102"/>
      <c r="G375" s="295"/>
      <c r="H375" s="100"/>
      <c r="I375" s="101"/>
      <c r="J375" s="102"/>
      <c r="L375" s="100"/>
      <c r="M375" s="101"/>
      <c r="N375" s="102"/>
    </row>
    <row r="376" spans="1:14" ht="16.5" hidden="1" thickBot="1">
      <c r="A376" s="294">
        <v>4</v>
      </c>
      <c r="B376" s="195"/>
      <c r="C376" s="295"/>
      <c r="D376" s="103"/>
      <c r="E376" s="104" t="s">
        <v>28</v>
      </c>
      <c r="F376" s="105">
        <f>F367-F374</f>
        <v>0</v>
      </c>
      <c r="G376" s="295"/>
      <c r="H376" s="103"/>
      <c r="I376" s="104" t="s">
        <v>28</v>
      </c>
      <c r="J376" s="105">
        <f>J367-J374</f>
        <v>0</v>
      </c>
      <c r="L376" s="103"/>
      <c r="M376" s="104" t="s">
        <v>28</v>
      </c>
      <c r="N376" s="105">
        <f>N367-N374</f>
        <v>0</v>
      </c>
    </row>
    <row r="377" spans="1:7" s="260" customFormat="1" ht="12.75" hidden="1">
      <c r="A377" s="294">
        <v>4</v>
      </c>
      <c r="B377" s="194"/>
      <c r="C377" s="298"/>
      <c r="G377" s="294"/>
    </row>
    <row r="378" spans="1:15" ht="15.75">
      <c r="A378" s="294">
        <v>4</v>
      </c>
      <c r="B378" s="195"/>
      <c r="C378" s="195"/>
      <c r="D378" s="299"/>
      <c r="E378" s="300"/>
      <c r="F378" s="301"/>
      <c r="G378" s="195"/>
      <c r="H378" s="299"/>
      <c r="I378" s="300"/>
      <c r="J378" s="301"/>
      <c r="K378" s="295"/>
      <c r="L378" s="295"/>
      <c r="M378" s="295"/>
      <c r="N378" s="295"/>
      <c r="O378" s="295"/>
    </row>
    <row r="379" spans="1:17" ht="12.75">
      <c r="A379">
        <v>4</v>
      </c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4"/>
      <c r="N379" s="11"/>
      <c r="O379" s="107"/>
      <c r="P379" s="10"/>
      <c r="Q379" s="10"/>
    </row>
    <row r="380" spans="2:17" ht="33.75">
      <c r="B380" s="10"/>
      <c r="C380" s="10"/>
      <c r="E380" s="10"/>
      <c r="F380" s="10"/>
      <c r="G380" s="355" t="s">
        <v>416</v>
      </c>
      <c r="H380" s="10"/>
      <c r="I380" s="10"/>
      <c r="J380" s="10"/>
      <c r="K380" s="10"/>
      <c r="L380" s="10"/>
      <c r="M380" s="14"/>
      <c r="N380" s="11"/>
      <c r="O380" s="107"/>
      <c r="P380" s="10"/>
      <c r="Q380" s="10"/>
    </row>
    <row r="381" spans="2:17" ht="13.5" thickBot="1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4"/>
      <c r="N381" s="11"/>
      <c r="O381" s="107"/>
      <c r="P381" s="10"/>
      <c r="Q381" s="10"/>
    </row>
    <row r="382" spans="5:11" ht="21" thickBot="1">
      <c r="E382" s="199" t="s">
        <v>382</v>
      </c>
      <c r="F382" s="200"/>
      <c r="G382" s="201"/>
      <c r="H382" s="202">
        <f>H67+H159+H253+H347</f>
        <v>120</v>
      </c>
      <c r="I382" s="203" t="s">
        <v>458</v>
      </c>
      <c r="J382" s="207"/>
      <c r="K382" s="207"/>
    </row>
    <row r="383" spans="5:11" ht="16.5" customHeight="1">
      <c r="E383" s="66"/>
      <c r="F383" s="407"/>
      <c r="G383" s="408"/>
      <c r="H383" s="66"/>
      <c r="I383" s="409"/>
      <c r="J383" s="66"/>
      <c r="K383" s="66"/>
    </row>
    <row r="384" spans="4:14" ht="15.75">
      <c r="D384" s="10"/>
      <c r="E384" s="157" t="s">
        <v>428</v>
      </c>
      <c r="F384" s="10"/>
      <c r="H384" s="10"/>
      <c r="I384" s="157" t="s">
        <v>448</v>
      </c>
      <c r="J384" s="10"/>
      <c r="K384" s="255"/>
      <c r="L384" s="10"/>
      <c r="M384" s="157" t="s">
        <v>449</v>
      </c>
      <c r="N384" s="10"/>
    </row>
    <row r="385" spans="2:14" ht="12.75">
      <c r="B385" s="2"/>
      <c r="C385" s="10"/>
      <c r="D385" s="17">
        <v>400</v>
      </c>
      <c r="E385" s="17" t="s">
        <v>18</v>
      </c>
      <c r="F385" s="89">
        <f>F77+F169+F263+F357</f>
        <v>594.77634</v>
      </c>
      <c r="G385" s="309"/>
      <c r="H385" s="17">
        <v>400</v>
      </c>
      <c r="I385" s="17" t="s">
        <v>18</v>
      </c>
      <c r="J385" s="89">
        <f>J77+J169+J263+J357</f>
        <v>672.089302</v>
      </c>
      <c r="L385" s="17">
        <v>400</v>
      </c>
      <c r="M385" s="17" t="s">
        <v>18</v>
      </c>
      <c r="N385" s="89">
        <f>N77+N169+N263+N357</f>
        <v>712.3780340000001</v>
      </c>
    </row>
    <row r="386" spans="2:14" ht="12.75">
      <c r="B386" s="2"/>
      <c r="C386" s="10"/>
      <c r="D386" s="17">
        <v>542</v>
      </c>
      <c r="E386" s="17" t="s">
        <v>418</v>
      </c>
      <c r="F386" s="89">
        <f>F78+F170+F264+F358</f>
        <v>104.13179999999998</v>
      </c>
      <c r="G386" s="309"/>
      <c r="H386" s="17">
        <v>542</v>
      </c>
      <c r="I386" s="17" t="s">
        <v>418</v>
      </c>
      <c r="J386" s="89">
        <f>J78+J170+J264+J358</f>
        <v>117.66753999999999</v>
      </c>
      <c r="L386" s="17">
        <v>542</v>
      </c>
      <c r="M386" s="17" t="s">
        <v>418</v>
      </c>
      <c r="N386" s="89">
        <f>N78+N170+N264+N358</f>
        <v>124.72118</v>
      </c>
    </row>
    <row r="387" spans="2:14" ht="12.75">
      <c r="B387" s="2"/>
      <c r="C387" s="10"/>
      <c r="D387" s="17">
        <v>404</v>
      </c>
      <c r="E387" s="17" t="s">
        <v>346</v>
      </c>
      <c r="F387" s="89">
        <f>F79+F171+F265+F359</f>
        <v>91.88099999999999</v>
      </c>
      <c r="G387" s="309"/>
      <c r="H387" s="17">
        <v>404</v>
      </c>
      <c r="I387" s="17" t="s">
        <v>346</v>
      </c>
      <c r="J387" s="89">
        <f>J79+J171+J265+J359</f>
        <v>103.8243</v>
      </c>
      <c r="L387" s="17">
        <v>404</v>
      </c>
      <c r="M387" s="17" t="s">
        <v>346</v>
      </c>
      <c r="N387" s="89">
        <f>N79+N171+N265+N359</f>
        <v>110.0481</v>
      </c>
    </row>
    <row r="388" spans="2:14" ht="12.75">
      <c r="B388" s="2"/>
      <c r="C388" s="10"/>
      <c r="D388" s="17">
        <v>406</v>
      </c>
      <c r="E388" s="17" t="s">
        <v>19</v>
      </c>
      <c r="F388" s="89">
        <f>F80+F172+F266+F360</f>
        <v>948.946968</v>
      </c>
      <c r="G388" s="309"/>
      <c r="H388" s="17">
        <v>406</v>
      </c>
      <c r="I388" s="17" t="s">
        <v>19</v>
      </c>
      <c r="J388" s="89">
        <f>J80+J172+J266+J360</f>
        <v>1072.2973703999999</v>
      </c>
      <c r="L388" s="17">
        <v>406</v>
      </c>
      <c r="M388" s="17" t="s">
        <v>19</v>
      </c>
      <c r="N388" s="89">
        <f>N80+N172+N266+N360</f>
        <v>1136.5767768</v>
      </c>
    </row>
    <row r="389" spans="2:14" ht="12.75">
      <c r="B389" s="2"/>
      <c r="C389" s="10"/>
      <c r="D389" s="17">
        <v>408</v>
      </c>
      <c r="E389" s="17" t="s">
        <v>365</v>
      </c>
      <c r="F389" s="89">
        <f>F81+F173+F267+F361</f>
        <v>0</v>
      </c>
      <c r="G389" s="309"/>
      <c r="H389" s="17">
        <v>408</v>
      </c>
      <c r="I389" s="17" t="s">
        <v>365</v>
      </c>
      <c r="J389" s="89">
        <f>J81+J173+J267+J361</f>
        <v>0</v>
      </c>
      <c r="L389" s="17">
        <v>408</v>
      </c>
      <c r="M389" s="17" t="s">
        <v>365</v>
      </c>
      <c r="N389" s="89">
        <f>N81+N173+N267+N361</f>
        <v>0</v>
      </c>
    </row>
    <row r="390" spans="2:14" ht="12.75">
      <c r="B390" s="2"/>
      <c r="C390" s="14"/>
      <c r="D390" s="17">
        <v>416</v>
      </c>
      <c r="E390" s="97" t="s">
        <v>347</v>
      </c>
      <c r="F390" s="89">
        <f>F82+F174+F268+F362</f>
        <v>0</v>
      </c>
      <c r="G390" s="309"/>
      <c r="H390" s="17">
        <v>416</v>
      </c>
      <c r="I390" s="97" t="s">
        <v>347</v>
      </c>
      <c r="J390" s="89">
        <f>J82+J174+J268+J362</f>
        <v>0</v>
      </c>
      <c r="L390" s="17">
        <v>416</v>
      </c>
      <c r="M390" s="97" t="s">
        <v>347</v>
      </c>
      <c r="N390" s="89">
        <f>N82+N174+N268+N362</f>
        <v>0</v>
      </c>
    </row>
    <row r="391" spans="2:14" ht="12.75">
      <c r="B391" s="2"/>
      <c r="C391" s="14"/>
      <c r="D391" s="17">
        <v>432</v>
      </c>
      <c r="E391" s="17" t="s">
        <v>363</v>
      </c>
      <c r="F391" s="89">
        <f>F83+F175+F269+F363</f>
        <v>631.4</v>
      </c>
      <c r="G391" s="309"/>
      <c r="H391" s="17">
        <v>432</v>
      </c>
      <c r="I391" s="17" t="s">
        <v>363</v>
      </c>
      <c r="J391" s="89">
        <f>J83+J175+J269+J363</f>
        <v>726.52</v>
      </c>
      <c r="L391" s="17">
        <v>432</v>
      </c>
      <c r="M391" s="17" t="s">
        <v>363</v>
      </c>
      <c r="N391" s="89">
        <f>N83+N175+N269+N363</f>
        <v>783.92</v>
      </c>
    </row>
    <row r="392" spans="2:14" ht="12.75">
      <c r="B392" s="2"/>
      <c r="C392" s="14"/>
      <c r="D392" s="17">
        <v>434</v>
      </c>
      <c r="E392" s="17" t="s">
        <v>345</v>
      </c>
      <c r="F392" s="89">
        <f>F84+F176+F270+F364</f>
        <v>157.68055118200002</v>
      </c>
      <c r="G392" s="309"/>
      <c r="H392" s="17">
        <v>434</v>
      </c>
      <c r="I392" s="17" t="s">
        <v>345</v>
      </c>
      <c r="J392" s="89">
        <f>J84+J176+J270+J364</f>
        <v>179.04450107460002</v>
      </c>
      <c r="L392" s="17">
        <v>434</v>
      </c>
      <c r="M392" s="17" t="s">
        <v>345</v>
      </c>
      <c r="N392" s="89">
        <f>N84+N176+N270+N364</f>
        <v>190.69833203820002</v>
      </c>
    </row>
    <row r="393" spans="2:14" ht="13.5" thickBot="1">
      <c r="B393" s="2"/>
      <c r="C393" s="14"/>
      <c r="D393" s="17"/>
      <c r="E393" s="91" t="s">
        <v>361</v>
      </c>
      <c r="F393" s="353">
        <v>0</v>
      </c>
      <c r="G393" s="309"/>
      <c r="H393" s="17"/>
      <c r="I393" s="91" t="s">
        <v>361</v>
      </c>
      <c r="J393" s="353">
        <v>0</v>
      </c>
      <c r="L393" s="17"/>
      <c r="M393" s="91" t="s">
        <v>361</v>
      </c>
      <c r="N393" s="353">
        <v>0</v>
      </c>
    </row>
    <row r="394" spans="2:14" ht="13.5" thickBot="1">
      <c r="B394" s="2"/>
      <c r="C394" s="14"/>
      <c r="D394" s="92"/>
      <c r="E394" s="93" t="s">
        <v>20</v>
      </c>
      <c r="F394" s="266">
        <f>SUM(F385:F393)</f>
        <v>2528.816659182</v>
      </c>
      <c r="G394" s="311"/>
      <c r="H394" s="92"/>
      <c r="I394" s="93" t="s">
        <v>20</v>
      </c>
      <c r="J394" s="266">
        <f>SUM(J385:J393)</f>
        <v>2871.4430134746</v>
      </c>
      <c r="L394" s="92"/>
      <c r="M394" s="93" t="s">
        <v>20</v>
      </c>
      <c r="N394" s="266">
        <f>SUM(N385:N393)</f>
        <v>3058.3424228382005</v>
      </c>
    </row>
    <row r="395" spans="2:14" ht="12.75">
      <c r="B395" s="2"/>
      <c r="C395" s="14"/>
      <c r="D395" s="17">
        <v>703</v>
      </c>
      <c r="E395" s="95" t="s">
        <v>348</v>
      </c>
      <c r="F395" s="16">
        <f>F88+F180+F274+F368</f>
        <v>6.322041647955</v>
      </c>
      <c r="G395" s="308"/>
      <c r="H395" s="17">
        <v>703</v>
      </c>
      <c r="I395" s="95" t="s">
        <v>348</v>
      </c>
      <c r="J395" s="16">
        <f>J88+J180+J274+J368</f>
        <v>7.1786075336865</v>
      </c>
      <c r="L395" s="17">
        <v>703</v>
      </c>
      <c r="M395" s="95" t="s">
        <v>348</v>
      </c>
      <c r="N395" s="16">
        <f>N88+N180+N274+N368</f>
        <v>7.645856057095501</v>
      </c>
    </row>
    <row r="396" spans="2:14" ht="12.75">
      <c r="B396" s="2"/>
      <c r="C396" s="14"/>
      <c r="D396" s="18">
        <v>707</v>
      </c>
      <c r="E396" s="97" t="s">
        <v>22</v>
      </c>
      <c r="F396" s="16">
        <f>F89+F181+F275+F369</f>
        <v>75.86449977545999</v>
      </c>
      <c r="G396" s="308"/>
      <c r="H396" s="18">
        <v>707</v>
      </c>
      <c r="I396" s="97" t="s">
        <v>22</v>
      </c>
      <c r="J396" s="16">
        <f>J89+J181+J275+J369</f>
        <v>86.14329040423799</v>
      </c>
      <c r="L396" s="18">
        <v>707</v>
      </c>
      <c r="M396" s="97" t="s">
        <v>22</v>
      </c>
      <c r="N396" s="16">
        <f>N89+N181+N275+N369</f>
        <v>91.75027268514602</v>
      </c>
    </row>
    <row r="397" spans="2:14" ht="12.75">
      <c r="B397" s="2"/>
      <c r="C397" s="14"/>
      <c r="D397" s="18">
        <v>709</v>
      </c>
      <c r="E397" s="97" t="s">
        <v>23</v>
      </c>
      <c r="F397" s="16">
        <f>F90+F182+F276+F370</f>
        <v>53.863794840576595</v>
      </c>
      <c r="G397" s="308"/>
      <c r="H397" s="18">
        <v>709</v>
      </c>
      <c r="I397" s="97" t="s">
        <v>23</v>
      </c>
      <c r="J397" s="16">
        <f>J90+J182+J276+J370</f>
        <v>61.16173618700898</v>
      </c>
      <c r="L397" s="18">
        <v>709</v>
      </c>
      <c r="M397" s="97" t="s">
        <v>23</v>
      </c>
      <c r="N397" s="16">
        <f>N90+N182+N276+N370</f>
        <v>65.14269360645366</v>
      </c>
    </row>
    <row r="398" spans="2:14" ht="12.75">
      <c r="B398" s="2"/>
      <c r="C398" s="14"/>
      <c r="D398" s="15">
        <v>710</v>
      </c>
      <c r="E398" s="97" t="s">
        <v>24</v>
      </c>
      <c r="F398" s="16">
        <f>F91+F183+F277+F371</f>
        <v>19.067277610232278</v>
      </c>
      <c r="G398" s="308"/>
      <c r="H398" s="15">
        <v>710</v>
      </c>
      <c r="I398" s="97" t="s">
        <v>24</v>
      </c>
      <c r="J398" s="16">
        <f>J91+J183+J277+J371</f>
        <v>21.650680321598482</v>
      </c>
      <c r="L398" s="15">
        <v>710</v>
      </c>
      <c r="M398" s="97" t="s">
        <v>24</v>
      </c>
      <c r="N398" s="16">
        <f>N91+N183+N277+N371</f>
        <v>23.059901868200033</v>
      </c>
    </row>
    <row r="399" spans="2:14" ht="12.75">
      <c r="B399" s="2"/>
      <c r="C399" s="10"/>
      <c r="D399" s="15">
        <v>713</v>
      </c>
      <c r="E399" s="97" t="s">
        <v>25</v>
      </c>
      <c r="F399" s="16">
        <f>F92+F184+F278+F372</f>
        <v>17.701716614274</v>
      </c>
      <c r="G399" s="308"/>
      <c r="H399" s="15">
        <v>713</v>
      </c>
      <c r="I399" s="97" t="s">
        <v>25</v>
      </c>
      <c r="J399" s="16">
        <f>J92+J184+J278+J372</f>
        <v>20.1001010943222</v>
      </c>
      <c r="L399" s="15">
        <v>713</v>
      </c>
      <c r="M399" s="97" t="s">
        <v>25</v>
      </c>
      <c r="N399" s="16">
        <f>N92+N184+N278+N372</f>
        <v>21.408396959867403</v>
      </c>
    </row>
    <row r="400" spans="2:14" ht="13.5" thickBot="1">
      <c r="B400" s="2"/>
      <c r="C400" s="172"/>
      <c r="D400" s="15"/>
      <c r="E400" s="98" t="s">
        <v>26</v>
      </c>
      <c r="F400" s="307">
        <v>0</v>
      </c>
      <c r="G400" s="308"/>
      <c r="H400" s="15"/>
      <c r="I400" s="98" t="s">
        <v>26</v>
      </c>
      <c r="J400" s="307">
        <v>0</v>
      </c>
      <c r="L400" s="15"/>
      <c r="M400" s="98" t="s">
        <v>26</v>
      </c>
      <c r="N400" s="307">
        <v>0</v>
      </c>
    </row>
    <row r="401" spans="2:14" ht="13.5" thickBot="1">
      <c r="B401" s="2"/>
      <c r="C401" s="172"/>
      <c r="D401" s="99"/>
      <c r="E401" s="93" t="s">
        <v>27</v>
      </c>
      <c r="F401" s="265">
        <f>SUM(F395:F400)</f>
        <v>172.81933048849788</v>
      </c>
      <c r="G401" s="308"/>
      <c r="H401" s="99"/>
      <c r="I401" s="93" t="s">
        <v>27</v>
      </c>
      <c r="J401" s="265">
        <f>SUM(J395:J400)</f>
        <v>196.23441554085417</v>
      </c>
      <c r="L401" s="99"/>
      <c r="M401" s="93" t="s">
        <v>27</v>
      </c>
      <c r="N401" s="265">
        <f>SUM(N395:N400)</f>
        <v>209.0071211767626</v>
      </c>
    </row>
    <row r="402" spans="2:14" ht="13.5" thickBot="1">
      <c r="B402" s="2"/>
      <c r="C402" s="172"/>
      <c r="D402" s="100"/>
      <c r="E402" s="101"/>
      <c r="F402" s="89"/>
      <c r="G402" s="308"/>
      <c r="H402" s="100"/>
      <c r="I402" s="101"/>
      <c r="J402" s="89"/>
      <c r="L402" s="100"/>
      <c r="M402" s="101"/>
      <c r="N402" s="89"/>
    </row>
    <row r="403" spans="2:14" ht="16.5" thickBot="1">
      <c r="B403" s="2"/>
      <c r="C403" s="173"/>
      <c r="D403" s="103"/>
      <c r="E403" s="104" t="s">
        <v>28</v>
      </c>
      <c r="F403" s="267">
        <f>F394-F401</f>
        <v>2355.997328693502</v>
      </c>
      <c r="G403" s="310"/>
      <c r="H403" s="103"/>
      <c r="I403" s="104" t="s">
        <v>28</v>
      </c>
      <c r="J403" s="267">
        <f>J394-J401</f>
        <v>2675.2085979337458</v>
      </c>
      <c r="L403" s="103"/>
      <c r="M403" s="104" t="s">
        <v>28</v>
      </c>
      <c r="N403" s="267">
        <f>N394-N401</f>
        <v>2849.335301661438</v>
      </c>
    </row>
    <row r="404" spans="2:14" ht="16.5" thickBot="1">
      <c r="B404" s="2"/>
      <c r="C404" s="173"/>
      <c r="D404" s="4"/>
      <c r="E404" s="205"/>
      <c r="F404" s="421"/>
      <c r="G404" s="310"/>
      <c r="H404" s="4"/>
      <c r="I404" s="205"/>
      <c r="J404" s="421"/>
      <c r="L404" s="4"/>
      <c r="M404" s="205"/>
      <c r="N404" s="421"/>
    </row>
    <row r="405" spans="2:14" ht="15.75">
      <c r="B405" s="2"/>
      <c r="C405" s="173"/>
      <c r="D405" s="4"/>
      <c r="E405" s="205"/>
      <c r="F405" s="421"/>
      <c r="G405" s="310"/>
      <c r="H405" s="4"/>
      <c r="I405" s="423" t="s">
        <v>450</v>
      </c>
      <c r="J405" s="424">
        <f>J403-F403</f>
        <v>319.21126924024384</v>
      </c>
      <c r="L405" s="4"/>
      <c r="M405" s="423" t="s">
        <v>452</v>
      </c>
      <c r="N405" s="424">
        <f>N403-J403</f>
        <v>174.12670372769207</v>
      </c>
    </row>
    <row r="406" spans="2:14" ht="16.5" thickBot="1">
      <c r="B406" s="2"/>
      <c r="C406" s="173"/>
      <c r="D406" s="4"/>
      <c r="E406" s="205"/>
      <c r="F406" s="421"/>
      <c r="G406" s="310"/>
      <c r="H406" s="4"/>
      <c r="I406" s="425" t="s">
        <v>451</v>
      </c>
      <c r="J406" s="426">
        <f>J405/F403</f>
        <v>0.13548880779812247</v>
      </c>
      <c r="L406" s="4"/>
      <c r="M406" s="425" t="s">
        <v>451</v>
      </c>
      <c r="N406" s="426">
        <f>N405/J403</f>
        <v>0.06508901917487202</v>
      </c>
    </row>
    <row r="407" spans="2:14" ht="16.5" thickBot="1">
      <c r="B407" s="2"/>
      <c r="C407" s="173"/>
      <c r="D407" s="4"/>
      <c r="E407" s="205"/>
      <c r="F407" s="421"/>
      <c r="G407" s="310"/>
      <c r="H407" s="4"/>
      <c r="I407" s="205"/>
      <c r="J407" s="422"/>
      <c r="L407" s="4"/>
      <c r="M407" s="205"/>
      <c r="N407" s="422"/>
    </row>
    <row r="408" spans="2:14" ht="15.75">
      <c r="B408" s="2"/>
      <c r="C408" s="173"/>
      <c r="D408" s="4"/>
      <c r="E408" s="205"/>
      <c r="F408" s="421"/>
      <c r="G408" s="310"/>
      <c r="H408" s="4"/>
      <c r="I408" s="205"/>
      <c r="J408" s="422"/>
      <c r="L408" s="4"/>
      <c r="M408" s="427" t="s">
        <v>453</v>
      </c>
      <c r="N408" s="428">
        <f>N403-F403</f>
        <v>493.3379729679359</v>
      </c>
    </row>
    <row r="409" spans="2:14" ht="16.5" thickBot="1">
      <c r="B409" s="10"/>
      <c r="C409" s="10"/>
      <c r="M409" s="429" t="s">
        <v>451</v>
      </c>
      <c r="N409" s="430">
        <f>N408/F403</f>
        <v>0.20939666058174702</v>
      </c>
    </row>
    <row r="410" spans="2:17" ht="15.75">
      <c r="B410" s="106"/>
      <c r="C410" s="359"/>
      <c r="D410" s="360"/>
      <c r="E410" s="361"/>
      <c r="F410" s="342"/>
      <c r="G410" s="359"/>
      <c r="H410" s="278"/>
      <c r="I410" s="279"/>
      <c r="J410" s="279"/>
      <c r="K410" s="279"/>
      <c r="L410" s="279"/>
      <c r="M410" s="10"/>
      <c r="N410" s="75"/>
      <c r="O410" s="11"/>
      <c r="P410" s="10"/>
      <c r="Q410" s="10"/>
    </row>
    <row r="411" spans="2:17" ht="15.75">
      <c r="B411" s="106"/>
      <c r="C411" s="275"/>
      <c r="D411" s="276"/>
      <c r="E411" s="277"/>
      <c r="F411" s="186"/>
      <c r="G411" s="275"/>
      <c r="H411" s="362"/>
      <c r="I411" s="363"/>
      <c r="J411" s="363"/>
      <c r="K411" s="363"/>
      <c r="L411" s="363"/>
      <c r="M411" s="10"/>
      <c r="N411" s="75"/>
      <c r="O411" s="11"/>
      <c r="P411" s="10"/>
      <c r="Q411" s="10"/>
    </row>
    <row r="412" ht="13.5" thickBot="1"/>
    <row r="413" ht="17.25" thickBot="1" thickTop="1">
      <c r="D413" s="365" t="s">
        <v>417</v>
      </c>
    </row>
    <row r="414" spans="4:6" ht="15.75" thickTop="1">
      <c r="D414" s="315" t="s">
        <v>11</v>
      </c>
      <c r="E414" s="314"/>
      <c r="F414" s="356"/>
    </row>
    <row r="415" spans="4:6" ht="15">
      <c r="D415" s="315" t="s">
        <v>12</v>
      </c>
      <c r="E415" s="316"/>
      <c r="F415" s="357"/>
    </row>
    <row r="416" spans="4:6" ht="15">
      <c r="D416" s="317" t="s">
        <v>381</v>
      </c>
      <c r="E416" s="316"/>
      <c r="F416" s="357"/>
    </row>
    <row r="417" spans="4:6" ht="15">
      <c r="D417" s="318" t="s">
        <v>360</v>
      </c>
      <c r="E417" s="316"/>
      <c r="F417" s="357"/>
    </row>
    <row r="418" spans="4:6" ht="15.75" thickBot="1">
      <c r="D418" s="364"/>
      <c r="E418" s="319"/>
      <c r="F418" s="358"/>
    </row>
    <row r="419" ht="13.5" thickTop="1"/>
  </sheetData>
  <sheetProtection password="DFB3" sheet="1" objects="1" scenarios="1" selectLockedCells="1"/>
  <hyperlinks>
    <hyperlink ref="D417" r:id="rId1" display="www.agmeruruguay.com.ar"/>
    <hyperlink ref="D416" r:id="rId2" display="victorhutt@victorhutt.com.ar"/>
    <hyperlink ref="D1" location="primercargo" display="1º Cargo"/>
    <hyperlink ref="E1" location="segundocargo" display="2º Cargo"/>
    <hyperlink ref="F1" location="tercercargo" display="3º cargo"/>
    <hyperlink ref="G1" location="cuartocargo" display="4º cargo"/>
    <hyperlink ref="H1" location="recibofinal" display="Final"/>
  </hyperlinks>
  <printOptions/>
  <pageMargins left="0.75" right="0.75" top="1" bottom="1" header="0" footer="0"/>
  <pageSetup orientation="portrait" paperSize="9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G314"/>
  <sheetViews>
    <sheetView workbookViewId="0" topLeftCell="A156">
      <selection activeCell="D171" sqref="D171"/>
    </sheetView>
  </sheetViews>
  <sheetFormatPr defaultColWidth="11.421875" defaultRowHeight="12.75"/>
  <cols>
    <col min="2" max="2" width="41.140625" style="0" customWidth="1"/>
    <col min="4" max="4" width="14.00390625" style="0" customWidth="1"/>
  </cols>
  <sheetData>
    <row r="1" spans="1:7" ht="13.5" thickBot="1">
      <c r="A1" s="19"/>
      <c r="B1" s="20" t="s">
        <v>33</v>
      </c>
      <c r="C1" s="21"/>
      <c r="D1" s="22"/>
      <c r="E1" s="22" t="s">
        <v>34</v>
      </c>
      <c r="F1" s="23" t="s">
        <v>35</v>
      </c>
      <c r="G1" s="23" t="s">
        <v>36</v>
      </c>
    </row>
    <row r="2" spans="1:7" ht="12.75">
      <c r="A2" s="24" t="s">
        <v>37</v>
      </c>
      <c r="B2" s="25" t="s">
        <v>38</v>
      </c>
      <c r="C2" s="24" t="s">
        <v>39</v>
      </c>
      <c r="D2" s="218" t="s">
        <v>396</v>
      </c>
      <c r="E2" s="26" t="s">
        <v>40</v>
      </c>
      <c r="F2" s="26" t="s">
        <v>41</v>
      </c>
      <c r="G2" s="26" t="s">
        <v>42</v>
      </c>
    </row>
    <row r="3" spans="1:7" ht="12.75">
      <c r="A3" s="27">
        <v>600</v>
      </c>
      <c r="B3" s="28" t="s">
        <v>43</v>
      </c>
      <c r="C3" s="27">
        <v>1300</v>
      </c>
      <c r="D3" s="219">
        <v>127</v>
      </c>
      <c r="E3" s="29">
        <v>0</v>
      </c>
      <c r="F3" s="27">
        <v>0</v>
      </c>
      <c r="G3" s="27">
        <v>0</v>
      </c>
    </row>
    <row r="4" spans="1:7" ht="12.75">
      <c r="A4" s="27">
        <v>603</v>
      </c>
      <c r="B4" s="28" t="s">
        <v>44</v>
      </c>
      <c r="C4" s="27">
        <v>3146</v>
      </c>
      <c r="D4" s="219">
        <v>0</v>
      </c>
      <c r="E4" s="29">
        <v>0</v>
      </c>
      <c r="F4" s="27">
        <v>0</v>
      </c>
      <c r="G4" s="27">
        <v>0</v>
      </c>
    </row>
    <row r="5" spans="1:7" ht="12.75">
      <c r="A5" s="27">
        <v>604</v>
      </c>
      <c r="B5" s="28" t="s">
        <v>45</v>
      </c>
      <c r="C5" s="27">
        <v>3146</v>
      </c>
      <c r="D5" s="219">
        <v>0</v>
      </c>
      <c r="E5" s="29">
        <v>0</v>
      </c>
      <c r="F5" s="27">
        <v>0</v>
      </c>
      <c r="G5" s="27">
        <v>0</v>
      </c>
    </row>
    <row r="6" spans="1:7" ht="12.75">
      <c r="A6" s="27">
        <v>605</v>
      </c>
      <c r="B6" s="28" t="s">
        <v>46</v>
      </c>
      <c r="C6" s="27">
        <v>2913</v>
      </c>
      <c r="D6" s="219">
        <v>0</v>
      </c>
      <c r="E6" s="29">
        <v>0</v>
      </c>
      <c r="F6" s="27">
        <v>0</v>
      </c>
      <c r="G6" s="27">
        <v>0</v>
      </c>
    </row>
    <row r="7" spans="1:7" ht="12.75">
      <c r="A7" s="27">
        <v>606</v>
      </c>
      <c r="B7" s="28" t="s">
        <v>47</v>
      </c>
      <c r="C7" s="27">
        <v>2913</v>
      </c>
      <c r="D7" s="219">
        <v>0</v>
      </c>
      <c r="E7" s="29">
        <v>0</v>
      </c>
      <c r="F7" s="27">
        <v>0</v>
      </c>
      <c r="G7" s="27">
        <v>0</v>
      </c>
    </row>
    <row r="8" spans="1:7" ht="12.75">
      <c r="A8" s="27">
        <v>608</v>
      </c>
      <c r="B8" s="28" t="s">
        <v>48</v>
      </c>
      <c r="C8" s="27">
        <v>2913</v>
      </c>
      <c r="D8" s="219">
        <v>0</v>
      </c>
      <c r="E8" s="29">
        <v>0</v>
      </c>
      <c r="F8" s="27">
        <v>0</v>
      </c>
      <c r="G8" s="27">
        <v>0</v>
      </c>
    </row>
    <row r="9" spans="1:7" ht="12.75">
      <c r="A9" s="27">
        <v>609</v>
      </c>
      <c r="B9" s="28" t="s">
        <v>49</v>
      </c>
      <c r="C9" s="27">
        <v>2000</v>
      </c>
      <c r="D9" s="219">
        <v>36</v>
      </c>
      <c r="E9" s="29">
        <v>0</v>
      </c>
      <c r="F9" s="27">
        <v>0</v>
      </c>
      <c r="G9" s="27">
        <v>0</v>
      </c>
    </row>
    <row r="10" spans="1:7" ht="12.75">
      <c r="A10" s="27">
        <v>611</v>
      </c>
      <c r="B10" s="28" t="s">
        <v>50</v>
      </c>
      <c r="C10" s="27">
        <v>1840</v>
      </c>
      <c r="D10" s="219">
        <v>57</v>
      </c>
      <c r="E10" s="29">
        <v>0</v>
      </c>
      <c r="F10" s="27">
        <v>0</v>
      </c>
      <c r="G10" s="27">
        <v>0</v>
      </c>
    </row>
    <row r="11" spans="1:7" ht="12.75">
      <c r="A11" s="27">
        <v>612</v>
      </c>
      <c r="B11" s="28" t="s">
        <v>51</v>
      </c>
      <c r="C11" s="27">
        <v>1690</v>
      </c>
      <c r="D11" s="219">
        <v>76</v>
      </c>
      <c r="E11" s="29">
        <v>0</v>
      </c>
      <c r="F11" s="27">
        <v>0</v>
      </c>
      <c r="G11" s="27">
        <v>0</v>
      </c>
    </row>
    <row r="12" spans="1:7" ht="12.75">
      <c r="A12" s="27">
        <v>613</v>
      </c>
      <c r="B12" s="28" t="s">
        <v>52</v>
      </c>
      <c r="C12" s="27">
        <v>1680</v>
      </c>
      <c r="D12" s="219">
        <v>77</v>
      </c>
      <c r="E12" s="29">
        <v>0</v>
      </c>
      <c r="F12" s="27">
        <v>0</v>
      </c>
      <c r="G12" s="27">
        <v>0</v>
      </c>
    </row>
    <row r="13" spans="1:7" ht="12.75">
      <c r="A13" s="27">
        <v>614</v>
      </c>
      <c r="B13" s="28" t="s">
        <v>53</v>
      </c>
      <c r="C13" s="27">
        <v>1740</v>
      </c>
      <c r="D13" s="219">
        <v>70</v>
      </c>
      <c r="E13" s="29">
        <v>0</v>
      </c>
      <c r="F13" s="27">
        <v>0</v>
      </c>
      <c r="G13" s="27">
        <v>0</v>
      </c>
    </row>
    <row r="14" spans="1:7" ht="12.75">
      <c r="A14" s="27">
        <v>615</v>
      </c>
      <c r="B14" s="28" t="s">
        <v>54</v>
      </c>
      <c r="C14" s="27">
        <v>1610</v>
      </c>
      <c r="D14" s="219">
        <v>87</v>
      </c>
      <c r="E14" s="29">
        <v>0</v>
      </c>
      <c r="F14" s="27">
        <v>0</v>
      </c>
      <c r="G14" s="27">
        <v>0</v>
      </c>
    </row>
    <row r="15" spans="1:7" ht="12.75">
      <c r="A15" s="27">
        <v>616</v>
      </c>
      <c r="B15" s="28" t="s">
        <v>55</v>
      </c>
      <c r="C15" s="27">
        <v>1740</v>
      </c>
      <c r="D15" s="219">
        <v>70</v>
      </c>
      <c r="E15" s="29">
        <v>0</v>
      </c>
      <c r="F15" s="27">
        <v>0</v>
      </c>
      <c r="G15" s="27">
        <v>0</v>
      </c>
    </row>
    <row r="16" spans="1:7" ht="12.75">
      <c r="A16" s="27">
        <v>617</v>
      </c>
      <c r="B16" s="28" t="s">
        <v>56</v>
      </c>
      <c r="C16" s="27">
        <v>1610</v>
      </c>
      <c r="D16" s="219">
        <v>87</v>
      </c>
      <c r="E16" s="29">
        <v>0</v>
      </c>
      <c r="F16" s="27">
        <v>0</v>
      </c>
      <c r="G16" s="27">
        <v>0</v>
      </c>
    </row>
    <row r="17" spans="1:7" ht="12.75">
      <c r="A17" s="27">
        <v>618</v>
      </c>
      <c r="B17" s="28" t="s">
        <v>57</v>
      </c>
      <c r="C17" s="27">
        <v>1500</v>
      </c>
      <c r="D17" s="219">
        <v>101</v>
      </c>
      <c r="E17" s="29">
        <v>0</v>
      </c>
      <c r="F17" s="27">
        <v>0</v>
      </c>
      <c r="G17" s="27">
        <v>0</v>
      </c>
    </row>
    <row r="18" spans="1:7" ht="12.75">
      <c r="A18" s="27">
        <v>619</v>
      </c>
      <c r="B18" s="28" t="s">
        <v>58</v>
      </c>
      <c r="C18" s="27">
        <v>1320</v>
      </c>
      <c r="D18" s="219">
        <v>124</v>
      </c>
      <c r="E18" s="29">
        <v>0</v>
      </c>
      <c r="F18" s="27">
        <v>0</v>
      </c>
      <c r="G18" s="27">
        <v>0</v>
      </c>
    </row>
    <row r="19" spans="1:7" ht="12.75">
      <c r="A19" s="27">
        <v>620</v>
      </c>
      <c r="B19" s="28" t="s">
        <v>59</v>
      </c>
      <c r="C19" s="27">
        <v>1550</v>
      </c>
      <c r="D19" s="219">
        <v>94</v>
      </c>
      <c r="E19" s="29">
        <v>0</v>
      </c>
      <c r="F19" s="27">
        <v>0</v>
      </c>
      <c r="G19" s="27">
        <v>0</v>
      </c>
    </row>
    <row r="20" spans="1:7" ht="12.75">
      <c r="A20" s="27">
        <v>621</v>
      </c>
      <c r="B20" s="28" t="s">
        <v>60</v>
      </c>
      <c r="C20" s="27">
        <v>1340</v>
      </c>
      <c r="D20" s="219">
        <v>122</v>
      </c>
      <c r="E20" s="29">
        <v>0</v>
      </c>
      <c r="F20" s="27">
        <v>0</v>
      </c>
      <c r="G20" s="27">
        <v>0</v>
      </c>
    </row>
    <row r="21" spans="1:7" ht="12.75">
      <c r="A21" s="27">
        <v>622</v>
      </c>
      <c r="B21" s="28" t="s">
        <v>61</v>
      </c>
      <c r="C21" s="27">
        <v>971</v>
      </c>
      <c r="D21" s="219">
        <v>170</v>
      </c>
      <c r="E21" s="29">
        <v>0</v>
      </c>
      <c r="F21" s="27">
        <v>0</v>
      </c>
      <c r="G21" s="27">
        <v>0</v>
      </c>
    </row>
    <row r="22" spans="1:7" ht="12.75">
      <c r="A22" s="27">
        <v>623</v>
      </c>
      <c r="B22" s="28" t="s">
        <v>62</v>
      </c>
      <c r="C22" s="27">
        <v>1690</v>
      </c>
      <c r="D22" s="219">
        <v>76</v>
      </c>
      <c r="E22" s="29">
        <v>0</v>
      </c>
      <c r="F22" s="27">
        <v>0</v>
      </c>
      <c r="G22" s="27">
        <v>0</v>
      </c>
    </row>
    <row r="23" spans="1:7" ht="12.75">
      <c r="A23" s="27">
        <v>624</v>
      </c>
      <c r="B23" s="28" t="s">
        <v>63</v>
      </c>
      <c r="C23" s="27">
        <v>1400</v>
      </c>
      <c r="D23" s="219">
        <v>114</v>
      </c>
      <c r="E23" s="29">
        <v>0</v>
      </c>
      <c r="F23" s="27">
        <v>0</v>
      </c>
      <c r="G23" s="27">
        <v>0</v>
      </c>
    </row>
    <row r="24" spans="1:7" ht="12.75">
      <c r="A24" s="27">
        <v>625</v>
      </c>
      <c r="B24" s="28" t="s">
        <v>64</v>
      </c>
      <c r="C24" s="27">
        <v>1370</v>
      </c>
      <c r="D24" s="219">
        <v>118</v>
      </c>
      <c r="E24" s="29">
        <v>0</v>
      </c>
      <c r="F24" s="27">
        <v>0</v>
      </c>
      <c r="G24" s="27">
        <v>0</v>
      </c>
    </row>
    <row r="25" spans="1:7" ht="12.75">
      <c r="A25" s="27">
        <v>626</v>
      </c>
      <c r="B25" s="28" t="s">
        <v>65</v>
      </c>
      <c r="C25" s="27">
        <v>1340</v>
      </c>
      <c r="D25" s="219">
        <v>122</v>
      </c>
      <c r="E25" s="29">
        <v>0</v>
      </c>
      <c r="F25" s="27">
        <v>0</v>
      </c>
      <c r="G25" s="27">
        <v>0</v>
      </c>
    </row>
    <row r="26" spans="1:7" ht="12.75">
      <c r="A26" s="27">
        <v>627</v>
      </c>
      <c r="B26" s="28" t="s">
        <v>66</v>
      </c>
      <c r="C26" s="27">
        <v>1300</v>
      </c>
      <c r="D26" s="219">
        <v>127</v>
      </c>
      <c r="E26" s="29">
        <v>0</v>
      </c>
      <c r="F26" s="27">
        <v>0</v>
      </c>
      <c r="G26" s="27">
        <v>0</v>
      </c>
    </row>
    <row r="27" spans="1:7" ht="12.75">
      <c r="A27" s="27">
        <v>628</v>
      </c>
      <c r="B27" s="28" t="s">
        <v>67</v>
      </c>
      <c r="C27" s="27">
        <v>980</v>
      </c>
      <c r="D27" s="219">
        <v>169</v>
      </c>
      <c r="E27" s="29">
        <v>0</v>
      </c>
      <c r="F27" s="27">
        <v>0</v>
      </c>
      <c r="G27" s="27">
        <v>0</v>
      </c>
    </row>
    <row r="28" spans="1:7" ht="12.75">
      <c r="A28" s="27">
        <v>629</v>
      </c>
      <c r="B28" s="28" t="s">
        <v>68</v>
      </c>
      <c r="C28" s="27">
        <v>941</v>
      </c>
      <c r="D28" s="219">
        <v>174</v>
      </c>
      <c r="E28" s="29">
        <v>0</v>
      </c>
      <c r="F28" s="27">
        <v>0</v>
      </c>
      <c r="G28" s="27">
        <v>0</v>
      </c>
    </row>
    <row r="29" spans="1:7" ht="12.75">
      <c r="A29" s="27">
        <v>630</v>
      </c>
      <c r="B29" s="28" t="s">
        <v>69</v>
      </c>
      <c r="C29" s="27">
        <v>1170</v>
      </c>
      <c r="D29" s="219">
        <v>144</v>
      </c>
      <c r="E29" s="29">
        <v>0</v>
      </c>
      <c r="F29" s="27">
        <v>0</v>
      </c>
      <c r="G29" s="27">
        <v>0</v>
      </c>
    </row>
    <row r="30" spans="1:7" ht="12.75">
      <c r="A30" s="27">
        <v>631</v>
      </c>
      <c r="B30" s="28" t="s">
        <v>70</v>
      </c>
      <c r="C30" s="27">
        <v>1170</v>
      </c>
      <c r="D30" s="219">
        <v>144</v>
      </c>
      <c r="E30" s="29">
        <v>0</v>
      </c>
      <c r="F30" s="27">
        <v>0</v>
      </c>
      <c r="G30" s="27">
        <v>0</v>
      </c>
    </row>
    <row r="31" spans="1:7" ht="12.75">
      <c r="A31" s="27">
        <v>632</v>
      </c>
      <c r="B31" s="28" t="s">
        <v>71</v>
      </c>
      <c r="C31" s="27">
        <v>941</v>
      </c>
      <c r="D31" s="219">
        <v>174</v>
      </c>
      <c r="E31" s="29">
        <v>0</v>
      </c>
      <c r="F31" s="27">
        <v>0</v>
      </c>
      <c r="G31" s="27">
        <v>0</v>
      </c>
    </row>
    <row r="32" spans="1:7" ht="12.75">
      <c r="A32" s="27">
        <v>633</v>
      </c>
      <c r="B32" s="28" t="s">
        <v>72</v>
      </c>
      <c r="C32" s="27">
        <v>941</v>
      </c>
      <c r="D32" s="219">
        <v>174</v>
      </c>
      <c r="E32" s="29">
        <v>0</v>
      </c>
      <c r="F32" s="27">
        <v>0</v>
      </c>
      <c r="G32" s="27">
        <v>0</v>
      </c>
    </row>
    <row r="33" spans="1:7" ht="12.75">
      <c r="A33" s="27">
        <v>634</v>
      </c>
      <c r="B33" s="28" t="s">
        <v>73</v>
      </c>
      <c r="C33" s="27">
        <v>971</v>
      </c>
      <c r="D33" s="219">
        <v>170</v>
      </c>
      <c r="E33" s="29">
        <v>0</v>
      </c>
      <c r="F33" s="27">
        <v>0</v>
      </c>
      <c r="G33" s="27">
        <v>0</v>
      </c>
    </row>
    <row r="34" spans="1:7" ht="12.75">
      <c r="A34" s="27">
        <v>636</v>
      </c>
      <c r="B34" s="28" t="s">
        <v>74</v>
      </c>
      <c r="C34" s="27">
        <v>971</v>
      </c>
      <c r="D34" s="219">
        <v>170</v>
      </c>
      <c r="E34" s="29">
        <v>0</v>
      </c>
      <c r="F34" s="27">
        <v>0</v>
      </c>
      <c r="G34" s="27">
        <v>0</v>
      </c>
    </row>
    <row r="35" spans="1:7" ht="12.75">
      <c r="A35" s="27">
        <v>637</v>
      </c>
      <c r="B35" s="28" t="s">
        <v>75</v>
      </c>
      <c r="C35" s="27">
        <v>971</v>
      </c>
      <c r="D35" s="219">
        <v>170</v>
      </c>
      <c r="E35" s="29">
        <v>0</v>
      </c>
      <c r="F35" s="27">
        <v>0</v>
      </c>
      <c r="G35" s="27">
        <v>0</v>
      </c>
    </row>
    <row r="36" spans="1:7" ht="12.75">
      <c r="A36" s="27">
        <v>638</v>
      </c>
      <c r="B36" s="28" t="s">
        <v>76</v>
      </c>
      <c r="C36" s="27">
        <v>906</v>
      </c>
      <c r="D36" s="219">
        <v>178</v>
      </c>
      <c r="E36" s="29">
        <v>0</v>
      </c>
      <c r="F36" s="27">
        <v>0</v>
      </c>
      <c r="G36" s="27">
        <v>0</v>
      </c>
    </row>
    <row r="37" spans="1:7" ht="12.75">
      <c r="A37" s="27">
        <v>639</v>
      </c>
      <c r="B37" s="28" t="s">
        <v>77</v>
      </c>
      <c r="C37" s="27">
        <v>1300</v>
      </c>
      <c r="D37" s="219">
        <v>127</v>
      </c>
      <c r="E37" s="29">
        <v>0</v>
      </c>
      <c r="F37" s="27">
        <v>0</v>
      </c>
      <c r="G37" s="27">
        <v>0</v>
      </c>
    </row>
    <row r="38" spans="1:7" ht="12.75">
      <c r="A38" s="27">
        <v>640</v>
      </c>
      <c r="B38" s="28" t="s">
        <v>78</v>
      </c>
      <c r="C38" s="27">
        <v>2830</v>
      </c>
      <c r="D38" s="219">
        <v>0</v>
      </c>
      <c r="E38" s="29">
        <v>0</v>
      </c>
      <c r="F38" s="27">
        <v>0</v>
      </c>
      <c r="G38" s="27">
        <v>0</v>
      </c>
    </row>
    <row r="39" spans="1:7" ht="12.75">
      <c r="A39" s="27">
        <v>641</v>
      </c>
      <c r="B39" s="28" t="s">
        <v>79</v>
      </c>
      <c r="C39" s="27">
        <v>1550</v>
      </c>
      <c r="D39" s="219">
        <v>94</v>
      </c>
      <c r="E39" s="29">
        <v>0</v>
      </c>
      <c r="F39" s="27">
        <v>0</v>
      </c>
      <c r="G39" s="27">
        <v>0</v>
      </c>
    </row>
    <row r="40" spans="1:7" ht="12.75">
      <c r="A40" s="27">
        <v>642</v>
      </c>
      <c r="B40" s="28" t="s">
        <v>80</v>
      </c>
      <c r="C40" s="27">
        <v>1170</v>
      </c>
      <c r="D40" s="219">
        <v>144</v>
      </c>
      <c r="E40" s="29">
        <v>0</v>
      </c>
      <c r="F40" s="27">
        <v>0</v>
      </c>
      <c r="G40" s="27">
        <v>0</v>
      </c>
    </row>
    <row r="41" spans="1:7" ht="12.75">
      <c r="A41" s="27">
        <v>643</v>
      </c>
      <c r="B41" s="28" t="s">
        <v>81</v>
      </c>
      <c r="C41" s="27">
        <v>1500</v>
      </c>
      <c r="D41" s="219">
        <v>101</v>
      </c>
      <c r="E41" s="29">
        <v>0</v>
      </c>
      <c r="F41" s="27">
        <v>0</v>
      </c>
      <c r="G41" s="27">
        <v>0</v>
      </c>
    </row>
    <row r="42" spans="1:7" ht="12.75">
      <c r="A42" s="27">
        <v>644</v>
      </c>
      <c r="B42" s="28" t="s">
        <v>82</v>
      </c>
      <c r="C42" s="27">
        <v>2490</v>
      </c>
      <c r="D42" s="219">
        <v>0</v>
      </c>
      <c r="E42" s="29">
        <v>0</v>
      </c>
      <c r="F42" s="27">
        <v>0</v>
      </c>
      <c r="G42" s="27">
        <v>0</v>
      </c>
    </row>
    <row r="43" spans="1:7" ht="12.75">
      <c r="A43" s="27">
        <v>645</v>
      </c>
      <c r="B43" s="28" t="s">
        <v>83</v>
      </c>
      <c r="C43" s="27">
        <v>2329</v>
      </c>
      <c r="D43" s="219">
        <v>0</v>
      </c>
      <c r="E43" s="29">
        <v>0</v>
      </c>
      <c r="F43" s="27">
        <v>0</v>
      </c>
      <c r="G43" s="27">
        <v>0</v>
      </c>
    </row>
    <row r="44" spans="1:7" ht="12.75">
      <c r="A44" s="27">
        <v>646</v>
      </c>
      <c r="B44" s="28" t="s">
        <v>84</v>
      </c>
      <c r="C44" s="27">
        <v>906</v>
      </c>
      <c r="D44" s="219">
        <v>178</v>
      </c>
      <c r="E44" s="29">
        <v>0</v>
      </c>
      <c r="F44" s="27">
        <v>0</v>
      </c>
      <c r="G44" s="27">
        <v>0</v>
      </c>
    </row>
    <row r="45" spans="1:7" ht="12.75">
      <c r="A45" s="27">
        <v>647</v>
      </c>
      <c r="B45" s="28" t="s">
        <v>85</v>
      </c>
      <c r="C45" s="27">
        <v>1830</v>
      </c>
      <c r="D45" s="219">
        <v>58</v>
      </c>
      <c r="E45" s="29">
        <v>0</v>
      </c>
      <c r="F45" s="27">
        <v>0</v>
      </c>
      <c r="G45" s="27">
        <v>0</v>
      </c>
    </row>
    <row r="46" spans="1:7" ht="12.75">
      <c r="A46" s="27">
        <v>648</v>
      </c>
      <c r="B46" s="28" t="s">
        <v>86</v>
      </c>
      <c r="C46" s="27">
        <v>1740</v>
      </c>
      <c r="D46" s="219">
        <v>70</v>
      </c>
      <c r="E46" s="29">
        <v>0</v>
      </c>
      <c r="F46" s="27">
        <v>0</v>
      </c>
      <c r="G46" s="27">
        <v>0</v>
      </c>
    </row>
    <row r="47" spans="1:7" ht="12.75">
      <c r="A47" s="27">
        <v>649</v>
      </c>
      <c r="B47" s="28" t="s">
        <v>87</v>
      </c>
      <c r="C47" s="27">
        <v>971</v>
      </c>
      <c r="D47" s="219">
        <v>170</v>
      </c>
      <c r="E47" s="29">
        <v>0</v>
      </c>
      <c r="F47" s="27">
        <v>0</v>
      </c>
      <c r="G47" s="27">
        <v>0</v>
      </c>
    </row>
    <row r="48" spans="1:7" ht="12.75">
      <c r="A48" s="27">
        <v>650</v>
      </c>
      <c r="B48" s="28" t="s">
        <v>88</v>
      </c>
      <c r="C48" s="27">
        <v>1740</v>
      </c>
      <c r="D48" s="219">
        <v>70</v>
      </c>
      <c r="E48" s="29">
        <v>0</v>
      </c>
      <c r="F48" s="27">
        <v>750</v>
      </c>
      <c r="G48" s="27">
        <v>0</v>
      </c>
    </row>
    <row r="49" spans="1:7" ht="12.75">
      <c r="A49" s="27">
        <v>651</v>
      </c>
      <c r="B49" s="28" t="s">
        <v>89</v>
      </c>
      <c r="C49" s="27">
        <v>971</v>
      </c>
      <c r="D49" s="219">
        <v>170</v>
      </c>
      <c r="E49" s="29">
        <v>0</v>
      </c>
      <c r="F49" s="27">
        <v>0</v>
      </c>
      <c r="G49" s="27">
        <v>0</v>
      </c>
    </row>
    <row r="50" spans="1:7" ht="12.75">
      <c r="A50" s="27">
        <v>652</v>
      </c>
      <c r="B50" s="28" t="s">
        <v>90</v>
      </c>
      <c r="C50" s="27">
        <v>1250</v>
      </c>
      <c r="D50" s="219">
        <v>134</v>
      </c>
      <c r="E50" s="29">
        <v>0</v>
      </c>
      <c r="F50" s="27">
        <v>0</v>
      </c>
      <c r="G50" s="27">
        <v>0</v>
      </c>
    </row>
    <row r="51" spans="1:7" ht="12.75">
      <c r="A51" s="27">
        <v>653</v>
      </c>
      <c r="B51" s="28" t="s">
        <v>91</v>
      </c>
      <c r="C51" s="27">
        <v>1400</v>
      </c>
      <c r="D51" s="219">
        <v>114</v>
      </c>
      <c r="E51" s="29">
        <v>0</v>
      </c>
      <c r="F51" s="27">
        <v>100</v>
      </c>
      <c r="G51" s="27">
        <v>0</v>
      </c>
    </row>
    <row r="52" spans="1:7" ht="12.75">
      <c r="A52" s="27">
        <v>654</v>
      </c>
      <c r="B52" s="28" t="s">
        <v>92</v>
      </c>
      <c r="C52" s="27">
        <v>1690</v>
      </c>
      <c r="D52" s="219">
        <v>76</v>
      </c>
      <c r="E52" s="29">
        <v>0</v>
      </c>
      <c r="F52" s="27">
        <v>300</v>
      </c>
      <c r="G52" s="27">
        <v>0</v>
      </c>
    </row>
    <row r="53" spans="1:7" ht="12.75">
      <c r="A53" s="27">
        <v>655</v>
      </c>
      <c r="B53" s="28" t="s">
        <v>93</v>
      </c>
      <c r="C53" s="27">
        <v>1550</v>
      </c>
      <c r="D53" s="219">
        <v>94</v>
      </c>
      <c r="E53" s="29">
        <v>0</v>
      </c>
      <c r="F53" s="27">
        <v>200</v>
      </c>
      <c r="G53" s="27">
        <v>0</v>
      </c>
    </row>
    <row r="54" spans="1:7" ht="12.75">
      <c r="A54" s="27">
        <v>657</v>
      </c>
      <c r="B54" s="28" t="s">
        <v>94</v>
      </c>
      <c r="C54" s="27">
        <v>1340</v>
      </c>
      <c r="D54" s="219">
        <v>122</v>
      </c>
      <c r="E54" s="29">
        <v>0</v>
      </c>
      <c r="F54" s="27">
        <v>0</v>
      </c>
      <c r="G54" s="27">
        <v>0</v>
      </c>
    </row>
    <row r="55" spans="1:7" ht="12.75">
      <c r="A55" s="27">
        <v>658</v>
      </c>
      <c r="B55" s="28" t="s">
        <v>95</v>
      </c>
      <c r="C55" s="27">
        <v>1300</v>
      </c>
      <c r="D55" s="219">
        <v>127</v>
      </c>
      <c r="E55" s="29">
        <v>0</v>
      </c>
      <c r="F55" s="27">
        <v>0</v>
      </c>
      <c r="G55" s="27">
        <v>0</v>
      </c>
    </row>
    <row r="56" spans="1:7" ht="12.75">
      <c r="A56" s="27">
        <v>659</v>
      </c>
      <c r="B56" s="28" t="s">
        <v>96</v>
      </c>
      <c r="C56" s="27">
        <v>1340</v>
      </c>
      <c r="D56" s="219">
        <v>122</v>
      </c>
      <c r="E56" s="29">
        <v>0</v>
      </c>
      <c r="F56" s="27">
        <v>0</v>
      </c>
      <c r="G56" s="27">
        <v>0</v>
      </c>
    </row>
    <row r="57" spans="1:7" ht="12.75">
      <c r="A57" s="27">
        <v>660</v>
      </c>
      <c r="B57" s="28" t="s">
        <v>97</v>
      </c>
      <c r="C57" s="27">
        <v>1300</v>
      </c>
      <c r="D57" s="219">
        <v>127</v>
      </c>
      <c r="E57" s="29">
        <v>0</v>
      </c>
      <c r="F57" s="27">
        <v>0</v>
      </c>
      <c r="G57" s="27">
        <v>0</v>
      </c>
    </row>
    <row r="58" spans="1:7" ht="12.75">
      <c r="A58" s="27">
        <v>661</v>
      </c>
      <c r="B58" s="28" t="s">
        <v>98</v>
      </c>
      <c r="C58" s="27">
        <v>1300</v>
      </c>
      <c r="D58" s="219">
        <v>127</v>
      </c>
      <c r="E58" s="29">
        <v>0</v>
      </c>
      <c r="F58" s="27">
        <v>0</v>
      </c>
      <c r="G58" s="27">
        <v>0</v>
      </c>
    </row>
    <row r="59" spans="1:7" ht="12.75">
      <c r="A59" s="27">
        <v>662</v>
      </c>
      <c r="B59" s="28" t="s">
        <v>99</v>
      </c>
      <c r="C59" s="27">
        <v>1690</v>
      </c>
      <c r="D59" s="219">
        <v>76</v>
      </c>
      <c r="E59" s="29">
        <v>0</v>
      </c>
      <c r="F59" s="27">
        <v>708</v>
      </c>
      <c r="G59" s="27">
        <v>0</v>
      </c>
    </row>
    <row r="60" spans="1:7" ht="12.75">
      <c r="A60" s="27">
        <v>663</v>
      </c>
      <c r="B60" s="28" t="s">
        <v>100</v>
      </c>
      <c r="C60" s="27">
        <v>1500</v>
      </c>
      <c r="D60" s="219">
        <v>101</v>
      </c>
      <c r="E60" s="29">
        <v>0</v>
      </c>
      <c r="F60" s="27">
        <v>0</v>
      </c>
      <c r="G60" s="27">
        <v>0</v>
      </c>
    </row>
    <row r="61" spans="1:7" ht="12.75">
      <c r="A61" s="27">
        <v>664</v>
      </c>
      <c r="B61" s="28" t="s">
        <v>101</v>
      </c>
      <c r="C61" s="27">
        <v>971</v>
      </c>
      <c r="D61" s="219">
        <v>170</v>
      </c>
      <c r="E61" s="29">
        <v>0</v>
      </c>
      <c r="F61" s="27">
        <v>620</v>
      </c>
      <c r="G61" s="27">
        <v>0</v>
      </c>
    </row>
    <row r="62" spans="1:7" ht="12.75">
      <c r="A62" s="27">
        <v>667</v>
      </c>
      <c r="B62" s="28" t="s">
        <v>102</v>
      </c>
      <c r="C62" s="27">
        <v>2000</v>
      </c>
      <c r="D62" s="219">
        <v>36</v>
      </c>
      <c r="E62" s="29">
        <v>0</v>
      </c>
      <c r="F62" s="27">
        <v>830</v>
      </c>
      <c r="G62" s="27">
        <v>0</v>
      </c>
    </row>
    <row r="63" spans="1:7" ht="12.75">
      <c r="A63" s="27">
        <v>668</v>
      </c>
      <c r="B63" s="28" t="s">
        <v>103</v>
      </c>
      <c r="C63" s="27">
        <v>1840</v>
      </c>
      <c r="D63" s="219">
        <v>57</v>
      </c>
      <c r="E63" s="29">
        <v>0</v>
      </c>
      <c r="F63" s="27">
        <v>830</v>
      </c>
      <c r="G63" s="27">
        <v>0</v>
      </c>
    </row>
    <row r="64" spans="1:7" ht="12.75">
      <c r="A64" s="27">
        <v>669</v>
      </c>
      <c r="B64" s="28" t="s">
        <v>104</v>
      </c>
      <c r="C64" s="27">
        <v>1680</v>
      </c>
      <c r="D64" s="219">
        <v>77</v>
      </c>
      <c r="E64" s="29">
        <v>0</v>
      </c>
      <c r="F64" s="27">
        <v>830</v>
      </c>
      <c r="G64" s="27">
        <v>0</v>
      </c>
    </row>
    <row r="65" spans="1:7" ht="12.75">
      <c r="A65" s="27">
        <v>670</v>
      </c>
      <c r="B65" s="28" t="s">
        <v>105</v>
      </c>
      <c r="C65" s="27">
        <v>1740</v>
      </c>
      <c r="D65" s="219">
        <v>70</v>
      </c>
      <c r="E65" s="29">
        <v>0</v>
      </c>
      <c r="F65" s="27">
        <v>750</v>
      </c>
      <c r="G65" s="27">
        <v>0</v>
      </c>
    </row>
    <row r="66" spans="1:7" ht="12.75">
      <c r="A66" s="27">
        <v>671</v>
      </c>
      <c r="B66" s="28" t="s">
        <v>106</v>
      </c>
      <c r="C66" s="27">
        <v>1610</v>
      </c>
      <c r="D66" s="219">
        <v>87</v>
      </c>
      <c r="E66" s="29">
        <v>0</v>
      </c>
      <c r="F66" s="27">
        <v>750</v>
      </c>
      <c r="G66" s="27">
        <v>0</v>
      </c>
    </row>
    <row r="67" spans="1:7" ht="12.75">
      <c r="A67" s="27">
        <v>672</v>
      </c>
      <c r="B67" s="28" t="s">
        <v>107</v>
      </c>
      <c r="C67" s="27">
        <v>2000</v>
      </c>
      <c r="D67" s="219">
        <v>36</v>
      </c>
      <c r="E67" s="29">
        <v>0</v>
      </c>
      <c r="F67" s="27">
        <v>300</v>
      </c>
      <c r="G67" s="27">
        <v>0</v>
      </c>
    </row>
    <row r="68" spans="1:7" ht="12.75">
      <c r="A68" s="27">
        <v>673</v>
      </c>
      <c r="B68" s="28" t="s">
        <v>108</v>
      </c>
      <c r="C68" s="27">
        <v>1840</v>
      </c>
      <c r="D68" s="219">
        <v>57</v>
      </c>
      <c r="E68" s="29">
        <v>0</v>
      </c>
      <c r="F68" s="27">
        <v>300</v>
      </c>
      <c r="G68" s="27">
        <v>0</v>
      </c>
    </row>
    <row r="69" spans="1:7" ht="12.75">
      <c r="A69" s="27">
        <v>674</v>
      </c>
      <c r="B69" s="28" t="s">
        <v>109</v>
      </c>
      <c r="C69" s="27">
        <v>1680</v>
      </c>
      <c r="D69" s="219">
        <v>77</v>
      </c>
      <c r="E69" s="29">
        <v>0</v>
      </c>
      <c r="F69" s="27">
        <v>300</v>
      </c>
      <c r="G69" s="27">
        <v>0</v>
      </c>
    </row>
    <row r="70" spans="1:7" ht="12.75">
      <c r="A70" s="27">
        <v>675</v>
      </c>
      <c r="B70" s="28" t="s">
        <v>110</v>
      </c>
      <c r="C70" s="27">
        <v>1740</v>
      </c>
      <c r="D70" s="219">
        <v>70</v>
      </c>
      <c r="E70" s="29">
        <v>0</v>
      </c>
      <c r="F70" s="27">
        <v>725</v>
      </c>
      <c r="G70" s="27">
        <v>0</v>
      </c>
    </row>
    <row r="71" spans="1:7" ht="12.75">
      <c r="A71" s="27">
        <v>676</v>
      </c>
      <c r="B71" s="28" t="s">
        <v>111</v>
      </c>
      <c r="C71" s="27">
        <v>1610</v>
      </c>
      <c r="D71" s="219">
        <v>87</v>
      </c>
      <c r="E71" s="29">
        <v>0</v>
      </c>
      <c r="F71" s="27">
        <v>725</v>
      </c>
      <c r="G71" s="27">
        <v>0</v>
      </c>
    </row>
    <row r="72" spans="1:7" ht="12.75">
      <c r="A72" s="27">
        <v>677</v>
      </c>
      <c r="B72" s="28" t="s">
        <v>112</v>
      </c>
      <c r="C72" s="27">
        <v>1500</v>
      </c>
      <c r="D72" s="219">
        <v>101</v>
      </c>
      <c r="E72" s="29">
        <v>0</v>
      </c>
      <c r="F72" s="27">
        <v>725</v>
      </c>
      <c r="G72" s="27">
        <v>0</v>
      </c>
    </row>
    <row r="73" spans="1:7" ht="12.75">
      <c r="A73" s="27">
        <v>678</v>
      </c>
      <c r="B73" s="28" t="s">
        <v>113</v>
      </c>
      <c r="C73" s="27">
        <v>1320</v>
      </c>
      <c r="D73" s="219">
        <v>124</v>
      </c>
      <c r="E73" s="29">
        <v>0</v>
      </c>
      <c r="F73" s="27">
        <v>590</v>
      </c>
      <c r="G73" s="27">
        <v>0</v>
      </c>
    </row>
    <row r="74" spans="1:7" ht="12.75">
      <c r="A74" s="27">
        <v>679</v>
      </c>
      <c r="B74" s="28" t="s">
        <v>114</v>
      </c>
      <c r="C74" s="27">
        <v>1690</v>
      </c>
      <c r="D74" s="219">
        <v>76</v>
      </c>
      <c r="E74" s="29">
        <v>0</v>
      </c>
      <c r="F74" s="27">
        <v>708</v>
      </c>
      <c r="G74" s="27">
        <v>0</v>
      </c>
    </row>
    <row r="75" spans="1:7" ht="12.75">
      <c r="A75" s="27">
        <v>680</v>
      </c>
      <c r="B75" s="28" t="s">
        <v>115</v>
      </c>
      <c r="C75" s="27">
        <v>1550</v>
      </c>
      <c r="D75" s="219">
        <v>94</v>
      </c>
      <c r="E75" s="29">
        <v>0</v>
      </c>
      <c r="F75" s="27">
        <v>708</v>
      </c>
      <c r="G75" s="27">
        <v>0</v>
      </c>
    </row>
    <row r="76" spans="1:7" ht="12.75">
      <c r="A76" s="27">
        <v>681</v>
      </c>
      <c r="B76" s="28" t="s">
        <v>116</v>
      </c>
      <c r="C76" s="27">
        <v>1400</v>
      </c>
      <c r="D76" s="219">
        <v>114</v>
      </c>
      <c r="E76" s="29">
        <v>0</v>
      </c>
      <c r="F76" s="27">
        <v>708</v>
      </c>
      <c r="G76" s="27">
        <v>0</v>
      </c>
    </row>
    <row r="77" spans="1:7" ht="12.75">
      <c r="A77" s="27">
        <v>682</v>
      </c>
      <c r="B77" s="30" t="s">
        <v>117</v>
      </c>
      <c r="C77" s="27">
        <v>1170</v>
      </c>
      <c r="D77" s="219">
        <v>144</v>
      </c>
      <c r="E77" s="29">
        <v>0</v>
      </c>
      <c r="F77" s="27">
        <v>580</v>
      </c>
      <c r="G77" s="27">
        <v>0</v>
      </c>
    </row>
    <row r="78" spans="1:7" ht="12.75">
      <c r="A78" s="27">
        <v>683</v>
      </c>
      <c r="B78" s="30" t="s">
        <v>118</v>
      </c>
      <c r="C78" s="27">
        <v>1170</v>
      </c>
      <c r="D78" s="219">
        <v>144</v>
      </c>
      <c r="E78" s="29">
        <v>0</v>
      </c>
      <c r="F78" s="27">
        <v>580</v>
      </c>
      <c r="G78" s="27">
        <v>0</v>
      </c>
    </row>
    <row r="79" spans="1:7" ht="12.75">
      <c r="A79" s="27">
        <v>684</v>
      </c>
      <c r="B79" s="28" t="s">
        <v>119</v>
      </c>
      <c r="C79" s="27">
        <v>1170</v>
      </c>
      <c r="D79" s="219">
        <v>144</v>
      </c>
      <c r="E79" s="29">
        <v>0</v>
      </c>
      <c r="F79" s="27">
        <v>580</v>
      </c>
      <c r="G79" s="27">
        <v>0</v>
      </c>
    </row>
    <row r="80" spans="1:7" ht="12.75">
      <c r="A80" s="27">
        <v>685</v>
      </c>
      <c r="B80" s="28" t="s">
        <v>120</v>
      </c>
      <c r="C80" s="27">
        <v>1500</v>
      </c>
      <c r="D80" s="219">
        <v>101</v>
      </c>
      <c r="E80" s="29">
        <v>0</v>
      </c>
      <c r="F80" s="27">
        <v>750</v>
      </c>
      <c r="G80" s="27">
        <v>0</v>
      </c>
    </row>
    <row r="81" spans="1:7" ht="12.75">
      <c r="A81" s="27">
        <v>686</v>
      </c>
      <c r="B81" s="28" t="s">
        <v>121</v>
      </c>
      <c r="C81" s="27">
        <v>2000</v>
      </c>
      <c r="D81" s="219">
        <v>36</v>
      </c>
      <c r="E81" s="29">
        <v>0</v>
      </c>
      <c r="F81" s="27">
        <v>600</v>
      </c>
      <c r="G81" s="27">
        <v>0</v>
      </c>
    </row>
    <row r="82" spans="1:7" ht="12.75">
      <c r="A82" s="27">
        <v>687</v>
      </c>
      <c r="B82" s="28" t="s">
        <v>122</v>
      </c>
      <c r="C82" s="27">
        <v>1840</v>
      </c>
      <c r="D82" s="219">
        <v>57</v>
      </c>
      <c r="E82" s="29">
        <v>0</v>
      </c>
      <c r="F82" s="27">
        <v>600</v>
      </c>
      <c r="G82" s="27">
        <v>0</v>
      </c>
    </row>
    <row r="83" spans="1:7" ht="12.75">
      <c r="A83" s="27">
        <v>688</v>
      </c>
      <c r="B83" s="28" t="s">
        <v>123</v>
      </c>
      <c r="C83" s="27">
        <v>1680</v>
      </c>
      <c r="D83" s="219">
        <v>77</v>
      </c>
      <c r="E83" s="29">
        <v>0</v>
      </c>
      <c r="F83" s="27">
        <v>600</v>
      </c>
      <c r="G83" s="27">
        <v>0</v>
      </c>
    </row>
    <row r="84" spans="1:7" ht="12.75">
      <c r="A84" s="27">
        <v>689</v>
      </c>
      <c r="B84" s="30" t="s">
        <v>124</v>
      </c>
      <c r="C84" s="27">
        <v>1170</v>
      </c>
      <c r="D84" s="219">
        <v>144</v>
      </c>
      <c r="E84" s="29">
        <v>0</v>
      </c>
      <c r="F84" s="27">
        <v>580</v>
      </c>
      <c r="G84" s="27">
        <v>0</v>
      </c>
    </row>
    <row r="85" spans="1:7" ht="12.75">
      <c r="A85" s="27">
        <v>691</v>
      </c>
      <c r="B85" s="28" t="s">
        <v>125</v>
      </c>
      <c r="C85" s="27">
        <v>1500</v>
      </c>
      <c r="D85" s="219">
        <v>101</v>
      </c>
      <c r="E85" s="29">
        <v>0</v>
      </c>
      <c r="F85" s="27">
        <v>750</v>
      </c>
      <c r="G85" s="27">
        <v>0</v>
      </c>
    </row>
    <row r="86" spans="1:7" ht="12.75">
      <c r="A86" s="27">
        <v>692</v>
      </c>
      <c r="B86" s="28" t="s">
        <v>126</v>
      </c>
      <c r="C86" s="27">
        <v>1690</v>
      </c>
      <c r="D86" s="219">
        <v>76</v>
      </c>
      <c r="E86" s="29">
        <v>0</v>
      </c>
      <c r="F86" s="27">
        <v>620</v>
      </c>
      <c r="G86" s="27">
        <v>0</v>
      </c>
    </row>
    <row r="87" spans="1:7" ht="12.75">
      <c r="A87" s="27">
        <v>693</v>
      </c>
      <c r="B87" s="28" t="s">
        <v>127</v>
      </c>
      <c r="C87" s="27">
        <v>1550</v>
      </c>
      <c r="D87" s="219">
        <v>94</v>
      </c>
      <c r="E87" s="29">
        <v>0</v>
      </c>
      <c r="F87" s="27">
        <v>620</v>
      </c>
      <c r="G87" s="27">
        <v>0</v>
      </c>
    </row>
    <row r="88" spans="1:7" ht="12.75">
      <c r="A88" s="27">
        <v>694</v>
      </c>
      <c r="B88" s="28" t="s">
        <v>128</v>
      </c>
      <c r="C88" s="27">
        <v>1400</v>
      </c>
      <c r="D88" s="219">
        <v>114</v>
      </c>
      <c r="E88" s="29">
        <v>0</v>
      </c>
      <c r="F88" s="27">
        <v>620</v>
      </c>
      <c r="G88" s="27">
        <v>0</v>
      </c>
    </row>
    <row r="89" spans="1:7" ht="12.75">
      <c r="A89" s="27">
        <v>695</v>
      </c>
      <c r="B89" s="28" t="s">
        <v>129</v>
      </c>
      <c r="C89" s="27">
        <v>906</v>
      </c>
      <c r="D89" s="219">
        <v>178</v>
      </c>
      <c r="E89" s="29">
        <v>0</v>
      </c>
      <c r="F89" s="27">
        <v>0</v>
      </c>
      <c r="G89" s="27">
        <v>0</v>
      </c>
    </row>
    <row r="90" spans="1:7" ht="12.75">
      <c r="A90" s="27">
        <v>696</v>
      </c>
      <c r="B90" s="28" t="s">
        <v>130</v>
      </c>
      <c r="C90" s="27">
        <v>1500</v>
      </c>
      <c r="D90" s="219">
        <v>101</v>
      </c>
      <c r="E90" s="29">
        <v>0</v>
      </c>
      <c r="F90" s="27">
        <v>0</v>
      </c>
      <c r="G90" s="27">
        <v>0</v>
      </c>
    </row>
    <row r="91" spans="1:7" ht="12.75">
      <c r="A91" s="27">
        <v>697</v>
      </c>
      <c r="B91" s="28" t="s">
        <v>131</v>
      </c>
      <c r="C91" s="27">
        <v>1500</v>
      </c>
      <c r="D91" s="219">
        <v>101</v>
      </c>
      <c r="E91" s="29">
        <v>0</v>
      </c>
      <c r="F91" s="27">
        <v>0</v>
      </c>
      <c r="G91" s="27">
        <v>0</v>
      </c>
    </row>
    <row r="92" spans="1:7" ht="12.75">
      <c r="A92" s="27">
        <v>698</v>
      </c>
      <c r="B92" s="28" t="s">
        <v>132</v>
      </c>
      <c r="C92" s="27">
        <v>1690</v>
      </c>
      <c r="D92" s="219">
        <v>76</v>
      </c>
      <c r="E92" s="29">
        <v>0</v>
      </c>
      <c r="F92" s="27">
        <v>0</v>
      </c>
      <c r="G92" s="27">
        <v>0</v>
      </c>
    </row>
    <row r="93" spans="1:7" ht="12.75">
      <c r="A93" s="27">
        <v>699</v>
      </c>
      <c r="B93" s="28" t="s">
        <v>133</v>
      </c>
      <c r="C93" s="27">
        <v>1550</v>
      </c>
      <c r="D93" s="219">
        <v>94</v>
      </c>
      <c r="E93" s="29">
        <v>0</v>
      </c>
      <c r="F93" s="27">
        <v>0</v>
      </c>
      <c r="G93" s="27">
        <v>0</v>
      </c>
    </row>
    <row r="94" spans="1:7" ht="12.75">
      <c r="A94" s="27">
        <v>702</v>
      </c>
      <c r="B94" s="28" t="s">
        <v>134</v>
      </c>
      <c r="C94" s="27">
        <v>971</v>
      </c>
      <c r="D94" s="219">
        <v>170</v>
      </c>
      <c r="E94" s="29">
        <v>0</v>
      </c>
      <c r="F94" s="27">
        <v>0</v>
      </c>
      <c r="G94" s="27">
        <v>0</v>
      </c>
    </row>
    <row r="95" spans="1:7" ht="12.75">
      <c r="A95" s="27">
        <v>703</v>
      </c>
      <c r="B95" s="28" t="s">
        <v>135</v>
      </c>
      <c r="C95" s="27">
        <v>3429</v>
      </c>
      <c r="D95" s="219">
        <v>0</v>
      </c>
      <c r="E95" s="29">
        <v>0</v>
      </c>
      <c r="F95" s="27">
        <v>0</v>
      </c>
      <c r="G95" s="27">
        <v>0</v>
      </c>
    </row>
    <row r="96" spans="1:7" ht="12.75">
      <c r="A96" s="27">
        <v>704</v>
      </c>
      <c r="B96" s="28" t="s">
        <v>136</v>
      </c>
      <c r="C96" s="27">
        <v>1500</v>
      </c>
      <c r="D96" s="219">
        <v>101</v>
      </c>
      <c r="E96" s="29">
        <v>0</v>
      </c>
      <c r="F96" s="27">
        <v>0</v>
      </c>
      <c r="G96" s="27">
        <v>0</v>
      </c>
    </row>
    <row r="97" spans="1:7" ht="12.75">
      <c r="A97" s="27">
        <v>705</v>
      </c>
      <c r="B97" s="28" t="s">
        <v>137</v>
      </c>
      <c r="C97" s="27">
        <v>1592</v>
      </c>
      <c r="D97" s="219">
        <v>89</v>
      </c>
      <c r="E97" s="29">
        <v>0</v>
      </c>
      <c r="F97" s="27">
        <v>0</v>
      </c>
      <c r="G97" s="27">
        <v>0</v>
      </c>
    </row>
    <row r="98" spans="1:7" ht="12.75">
      <c r="A98" s="27">
        <v>706</v>
      </c>
      <c r="B98" s="28" t="s">
        <v>138</v>
      </c>
      <c r="C98" s="27">
        <v>2482</v>
      </c>
      <c r="D98" s="219">
        <v>0</v>
      </c>
      <c r="E98" s="29">
        <v>0</v>
      </c>
      <c r="F98" s="27">
        <v>0</v>
      </c>
      <c r="G98" s="27">
        <v>0</v>
      </c>
    </row>
    <row r="99" spans="1:7" ht="12.75">
      <c r="A99" s="27">
        <v>708</v>
      </c>
      <c r="B99" s="28" t="s">
        <v>139</v>
      </c>
      <c r="C99" s="27">
        <v>3146</v>
      </c>
      <c r="D99" s="219">
        <v>0</v>
      </c>
      <c r="E99" s="29">
        <v>0</v>
      </c>
      <c r="F99" s="27">
        <v>0</v>
      </c>
      <c r="G99" s="27">
        <v>0</v>
      </c>
    </row>
    <row r="100" spans="1:7" ht="12.75">
      <c r="A100" s="27">
        <v>709</v>
      </c>
      <c r="B100" s="28" t="s">
        <v>140</v>
      </c>
      <c r="C100" s="27">
        <v>2913</v>
      </c>
      <c r="D100" s="219">
        <v>0</v>
      </c>
      <c r="E100" s="29">
        <v>0</v>
      </c>
      <c r="F100" s="27">
        <v>0</v>
      </c>
      <c r="G100" s="27">
        <v>0</v>
      </c>
    </row>
    <row r="101" spans="1:7" ht="12.75">
      <c r="A101" s="27">
        <v>710</v>
      </c>
      <c r="B101" s="28" t="s">
        <v>141</v>
      </c>
      <c r="C101" s="27">
        <v>2913</v>
      </c>
      <c r="D101" s="219">
        <v>0</v>
      </c>
      <c r="E101" s="29">
        <v>20</v>
      </c>
      <c r="F101" s="27">
        <v>0</v>
      </c>
      <c r="G101" s="27">
        <v>0</v>
      </c>
    </row>
    <row r="102" spans="1:7" ht="12.75">
      <c r="A102" s="27">
        <v>711</v>
      </c>
      <c r="B102" s="28" t="s">
        <v>142</v>
      </c>
      <c r="C102" s="27">
        <v>2913</v>
      </c>
      <c r="D102" s="219">
        <v>0</v>
      </c>
      <c r="E102" s="29">
        <v>0</v>
      </c>
      <c r="F102" s="27">
        <v>0</v>
      </c>
      <c r="G102" s="27">
        <v>0</v>
      </c>
    </row>
    <row r="103" spans="1:7" ht="12.75">
      <c r="A103" s="27">
        <v>712</v>
      </c>
      <c r="B103" s="28" t="s">
        <v>143</v>
      </c>
      <c r="C103" s="27">
        <v>2913</v>
      </c>
      <c r="D103" s="219">
        <v>0</v>
      </c>
      <c r="E103" s="29">
        <v>0</v>
      </c>
      <c r="F103" s="27">
        <v>0</v>
      </c>
      <c r="G103" s="27">
        <v>0</v>
      </c>
    </row>
    <row r="104" spans="1:7" ht="12.75">
      <c r="A104" s="27">
        <v>713</v>
      </c>
      <c r="B104" s="28" t="s">
        <v>144</v>
      </c>
      <c r="C104" s="27">
        <v>2913</v>
      </c>
      <c r="D104" s="219">
        <v>0</v>
      </c>
      <c r="E104" s="29">
        <v>0</v>
      </c>
      <c r="F104" s="27">
        <v>0</v>
      </c>
      <c r="G104" s="27">
        <v>0</v>
      </c>
    </row>
    <row r="105" spans="1:7" ht="12.75">
      <c r="A105" s="27">
        <v>714</v>
      </c>
      <c r="B105" s="28" t="s">
        <v>145</v>
      </c>
      <c r="C105" s="27">
        <v>2913</v>
      </c>
      <c r="D105" s="219">
        <v>0</v>
      </c>
      <c r="E105" s="29">
        <v>0</v>
      </c>
      <c r="F105" s="27">
        <v>0</v>
      </c>
      <c r="G105" s="27">
        <v>0</v>
      </c>
    </row>
    <row r="106" spans="1:7" ht="12.75">
      <c r="A106" s="27">
        <v>715</v>
      </c>
      <c r="B106" s="28" t="s">
        <v>146</v>
      </c>
      <c r="C106" s="27">
        <v>1912</v>
      </c>
      <c r="D106" s="219">
        <v>47</v>
      </c>
      <c r="E106" s="29">
        <v>0</v>
      </c>
      <c r="F106" s="27">
        <v>42</v>
      </c>
      <c r="G106" s="27">
        <v>0</v>
      </c>
    </row>
    <row r="107" spans="1:7" ht="12.75">
      <c r="A107" s="27">
        <v>716</v>
      </c>
      <c r="B107" s="28" t="s">
        <v>147</v>
      </c>
      <c r="C107" s="27">
        <v>1942</v>
      </c>
      <c r="D107" s="219">
        <v>43</v>
      </c>
      <c r="E107" s="29">
        <v>0</v>
      </c>
      <c r="F107" s="27">
        <v>0</v>
      </c>
      <c r="G107" s="27">
        <v>0</v>
      </c>
    </row>
    <row r="108" spans="1:7" ht="12.75">
      <c r="A108" s="27">
        <v>717</v>
      </c>
      <c r="B108" s="28" t="s">
        <v>148</v>
      </c>
      <c r="C108" s="27">
        <v>2100</v>
      </c>
      <c r="D108" s="219">
        <v>23</v>
      </c>
      <c r="E108" s="29">
        <v>150</v>
      </c>
      <c r="F108" s="27">
        <v>0</v>
      </c>
      <c r="G108" s="27">
        <v>0</v>
      </c>
    </row>
    <row r="109" spans="1:7" ht="12.75">
      <c r="A109" s="27">
        <v>718</v>
      </c>
      <c r="B109" s="28" t="s">
        <v>149</v>
      </c>
      <c r="C109" s="27">
        <v>1942</v>
      </c>
      <c r="D109" s="219">
        <v>43</v>
      </c>
      <c r="E109" s="29">
        <v>17</v>
      </c>
      <c r="F109" s="27">
        <v>0</v>
      </c>
      <c r="G109" s="27">
        <v>0</v>
      </c>
    </row>
    <row r="110" spans="1:7" ht="12.75">
      <c r="A110" s="27">
        <v>719</v>
      </c>
      <c r="B110" s="28" t="s">
        <v>150</v>
      </c>
      <c r="C110" s="27">
        <v>1782</v>
      </c>
      <c r="D110" s="219">
        <v>64</v>
      </c>
      <c r="E110" s="29">
        <v>0</v>
      </c>
      <c r="F110" s="27">
        <v>0</v>
      </c>
      <c r="G110" s="27">
        <v>0</v>
      </c>
    </row>
    <row r="111" spans="1:7" ht="12.75">
      <c r="A111" s="27">
        <v>720</v>
      </c>
      <c r="B111" s="28" t="s">
        <v>151</v>
      </c>
      <c r="C111" s="27">
        <v>1782</v>
      </c>
      <c r="D111" s="219">
        <v>64</v>
      </c>
      <c r="E111" s="29">
        <v>17</v>
      </c>
      <c r="F111" s="27">
        <v>0</v>
      </c>
      <c r="G111" s="27">
        <v>0</v>
      </c>
    </row>
    <row r="112" spans="1:7" ht="12.75">
      <c r="A112" s="27">
        <v>721</v>
      </c>
      <c r="B112" s="28" t="s">
        <v>152</v>
      </c>
      <c r="C112" s="27">
        <v>1942</v>
      </c>
      <c r="D112" s="219">
        <v>43</v>
      </c>
      <c r="E112" s="29">
        <v>150</v>
      </c>
      <c r="F112" s="27">
        <v>0</v>
      </c>
      <c r="G112" s="27">
        <v>0</v>
      </c>
    </row>
    <row r="113" spans="1:7" ht="12.75">
      <c r="A113" s="27">
        <v>722</v>
      </c>
      <c r="B113" s="28" t="s">
        <v>153</v>
      </c>
      <c r="C113" s="27">
        <v>1692</v>
      </c>
      <c r="D113" s="219">
        <v>76</v>
      </c>
      <c r="E113" s="29">
        <v>0</v>
      </c>
      <c r="F113" s="27">
        <v>0</v>
      </c>
      <c r="G113" s="27">
        <v>0</v>
      </c>
    </row>
    <row r="114" spans="1:7" ht="12.75">
      <c r="A114" s="27">
        <v>723</v>
      </c>
      <c r="B114" s="28" t="s">
        <v>154</v>
      </c>
      <c r="C114" s="27">
        <v>1700</v>
      </c>
      <c r="D114" s="219">
        <v>75</v>
      </c>
      <c r="E114" s="29">
        <v>0</v>
      </c>
      <c r="F114" s="27">
        <v>0</v>
      </c>
      <c r="G114" s="27">
        <v>0</v>
      </c>
    </row>
    <row r="115" spans="1:7" ht="12.75">
      <c r="A115" s="27">
        <v>724</v>
      </c>
      <c r="B115" s="28" t="s">
        <v>155</v>
      </c>
      <c r="C115" s="27">
        <v>1942</v>
      </c>
      <c r="D115" s="219">
        <v>43</v>
      </c>
      <c r="E115" s="29">
        <v>150</v>
      </c>
      <c r="F115" s="27">
        <v>0</v>
      </c>
      <c r="G115" s="27">
        <v>0</v>
      </c>
    </row>
    <row r="116" spans="1:7" ht="12.75">
      <c r="A116" s="27">
        <v>725</v>
      </c>
      <c r="B116" s="28" t="s">
        <v>156</v>
      </c>
      <c r="C116" s="27">
        <v>1592</v>
      </c>
      <c r="D116" s="219">
        <v>89</v>
      </c>
      <c r="E116" s="29">
        <v>0</v>
      </c>
      <c r="F116" s="27">
        <v>0</v>
      </c>
      <c r="G116" s="27">
        <v>0</v>
      </c>
    </row>
    <row r="117" spans="1:7" ht="12.75">
      <c r="A117" s="27">
        <v>726</v>
      </c>
      <c r="B117" s="28" t="s">
        <v>157</v>
      </c>
      <c r="C117" s="27">
        <v>1500</v>
      </c>
      <c r="D117" s="219">
        <v>101</v>
      </c>
      <c r="E117" s="29">
        <v>150</v>
      </c>
      <c r="F117" s="27">
        <v>0</v>
      </c>
      <c r="G117" s="27">
        <v>0</v>
      </c>
    </row>
    <row r="118" spans="1:7" ht="12.75">
      <c r="A118" s="31">
        <v>727</v>
      </c>
      <c r="B118" s="32" t="s">
        <v>158</v>
      </c>
      <c r="C118" s="31">
        <v>1600</v>
      </c>
      <c r="D118" s="219">
        <v>88</v>
      </c>
      <c r="E118" s="33">
        <v>0</v>
      </c>
      <c r="F118" s="31">
        <v>0</v>
      </c>
      <c r="G118" s="31">
        <v>0</v>
      </c>
    </row>
    <row r="119" spans="1:7" ht="12.75">
      <c r="A119" s="27">
        <v>728</v>
      </c>
      <c r="B119" s="28" t="s">
        <v>159</v>
      </c>
      <c r="C119" s="27">
        <v>1360</v>
      </c>
      <c r="D119" s="219">
        <v>120</v>
      </c>
      <c r="E119" s="29">
        <v>17</v>
      </c>
      <c r="F119" s="27">
        <v>0</v>
      </c>
      <c r="G119" s="27">
        <v>0</v>
      </c>
    </row>
    <row r="120" spans="1:7" ht="12.75">
      <c r="A120" s="27">
        <v>729</v>
      </c>
      <c r="B120" s="28" t="s">
        <v>160</v>
      </c>
      <c r="C120" s="27">
        <v>1692</v>
      </c>
      <c r="D120" s="219">
        <v>76</v>
      </c>
      <c r="E120" s="29">
        <v>0</v>
      </c>
      <c r="F120" s="27">
        <v>0</v>
      </c>
      <c r="G120" s="27">
        <v>0</v>
      </c>
    </row>
    <row r="121" spans="1:7" ht="12.75">
      <c r="A121" s="27">
        <v>730</v>
      </c>
      <c r="B121" s="28" t="s">
        <v>161</v>
      </c>
      <c r="C121" s="27">
        <v>1700</v>
      </c>
      <c r="D121" s="219">
        <v>75</v>
      </c>
      <c r="E121" s="29">
        <v>0</v>
      </c>
      <c r="F121" s="27">
        <v>0</v>
      </c>
      <c r="G121" s="27">
        <v>0</v>
      </c>
    </row>
    <row r="122" spans="1:7" ht="12.75">
      <c r="A122" s="27">
        <v>731</v>
      </c>
      <c r="B122" s="28" t="s">
        <v>162</v>
      </c>
      <c r="C122" s="27">
        <v>1592</v>
      </c>
      <c r="D122" s="219">
        <v>89</v>
      </c>
      <c r="E122" s="29">
        <v>0</v>
      </c>
      <c r="F122" s="27">
        <v>0</v>
      </c>
      <c r="G122" s="27">
        <v>0</v>
      </c>
    </row>
    <row r="123" spans="1:7" ht="12.75">
      <c r="A123" s="27">
        <v>732</v>
      </c>
      <c r="B123" s="28" t="s">
        <v>163</v>
      </c>
      <c r="C123" s="27">
        <v>971</v>
      </c>
      <c r="D123" s="219">
        <v>170</v>
      </c>
      <c r="E123" s="29">
        <v>150</v>
      </c>
      <c r="F123" s="27">
        <v>0</v>
      </c>
      <c r="G123" s="27">
        <v>0</v>
      </c>
    </row>
    <row r="124" spans="1:7" ht="12.75">
      <c r="A124" s="27">
        <v>733</v>
      </c>
      <c r="B124" s="28" t="s">
        <v>164</v>
      </c>
      <c r="C124" s="27">
        <v>1150</v>
      </c>
      <c r="D124" s="219">
        <v>147</v>
      </c>
      <c r="E124" s="29">
        <v>0</v>
      </c>
      <c r="F124" s="27">
        <v>0</v>
      </c>
      <c r="G124" s="27">
        <v>0</v>
      </c>
    </row>
    <row r="125" spans="1:7" ht="12.75">
      <c r="A125" s="27">
        <v>734</v>
      </c>
      <c r="B125" s="28" t="s">
        <v>165</v>
      </c>
      <c r="C125" s="27">
        <v>1500</v>
      </c>
      <c r="D125" s="219">
        <v>101</v>
      </c>
      <c r="E125" s="29">
        <v>150</v>
      </c>
      <c r="F125" s="27">
        <v>0</v>
      </c>
      <c r="G125" s="27">
        <v>0</v>
      </c>
    </row>
    <row r="126" spans="1:7" ht="12.75">
      <c r="A126" s="27">
        <v>735</v>
      </c>
      <c r="B126" s="28" t="s">
        <v>166</v>
      </c>
      <c r="C126" s="27">
        <v>971</v>
      </c>
      <c r="D126" s="219">
        <v>170</v>
      </c>
      <c r="E126" s="29">
        <v>150</v>
      </c>
      <c r="F126" s="27">
        <v>0</v>
      </c>
      <c r="G126" s="27">
        <v>0</v>
      </c>
    </row>
    <row r="127" spans="1:7" ht="12.75">
      <c r="A127" s="27">
        <v>736</v>
      </c>
      <c r="B127" s="28" t="s">
        <v>167</v>
      </c>
      <c r="C127" s="27">
        <v>1600</v>
      </c>
      <c r="D127" s="219">
        <v>88</v>
      </c>
      <c r="E127" s="29">
        <v>0</v>
      </c>
      <c r="F127" s="27">
        <v>0</v>
      </c>
      <c r="G127" s="27">
        <v>0</v>
      </c>
    </row>
    <row r="128" spans="1:7" ht="12.75">
      <c r="A128" s="27">
        <v>737</v>
      </c>
      <c r="B128" s="28" t="s">
        <v>168</v>
      </c>
      <c r="C128" s="27">
        <v>971</v>
      </c>
      <c r="D128" s="219">
        <v>170</v>
      </c>
      <c r="E128" s="29">
        <v>150</v>
      </c>
      <c r="F128" s="27">
        <v>0</v>
      </c>
      <c r="G128" s="27">
        <v>0</v>
      </c>
    </row>
    <row r="129" spans="1:7" ht="12.75">
      <c r="A129" s="27">
        <v>738</v>
      </c>
      <c r="B129" s="28" t="s">
        <v>169</v>
      </c>
      <c r="C129" s="27">
        <v>971</v>
      </c>
      <c r="D129" s="219">
        <v>170</v>
      </c>
      <c r="E129" s="29">
        <v>17</v>
      </c>
      <c r="F129" s="27">
        <v>0</v>
      </c>
      <c r="G129" s="27">
        <v>0</v>
      </c>
    </row>
    <row r="130" spans="1:7" ht="12.75">
      <c r="A130" s="27">
        <v>739</v>
      </c>
      <c r="B130" s="28" t="s">
        <v>170</v>
      </c>
      <c r="C130" s="27">
        <v>971</v>
      </c>
      <c r="D130" s="219">
        <v>170</v>
      </c>
      <c r="E130" s="29">
        <v>150</v>
      </c>
      <c r="F130" s="27">
        <v>0</v>
      </c>
      <c r="G130" s="27">
        <v>0</v>
      </c>
    </row>
    <row r="131" spans="1:7" ht="12.75">
      <c r="A131" s="27">
        <v>740</v>
      </c>
      <c r="B131" s="28" t="s">
        <v>171</v>
      </c>
      <c r="C131" s="27">
        <v>971</v>
      </c>
      <c r="D131" s="219">
        <v>170</v>
      </c>
      <c r="E131" s="29">
        <v>150</v>
      </c>
      <c r="F131" s="27">
        <v>0</v>
      </c>
      <c r="G131" s="27">
        <v>0</v>
      </c>
    </row>
    <row r="132" spans="1:7" ht="12.75">
      <c r="A132" s="27">
        <v>741</v>
      </c>
      <c r="B132" s="28" t="s">
        <v>172</v>
      </c>
      <c r="C132" s="27">
        <v>1300</v>
      </c>
      <c r="D132" s="219">
        <v>127</v>
      </c>
      <c r="E132" s="29">
        <v>0</v>
      </c>
      <c r="F132" s="27">
        <v>0</v>
      </c>
      <c r="G132" s="27">
        <v>0</v>
      </c>
    </row>
    <row r="133" spans="1:7" ht="12.75">
      <c r="A133" s="27">
        <v>742</v>
      </c>
      <c r="B133" s="28" t="s">
        <v>173</v>
      </c>
      <c r="C133" s="27">
        <v>971</v>
      </c>
      <c r="D133" s="219">
        <v>170</v>
      </c>
      <c r="E133" s="29">
        <v>150</v>
      </c>
      <c r="F133" s="27">
        <v>0</v>
      </c>
      <c r="G133" s="27">
        <v>0</v>
      </c>
    </row>
    <row r="134" spans="1:7" ht="12.75">
      <c r="A134" s="34">
        <v>743</v>
      </c>
      <c r="B134" s="35" t="s">
        <v>174</v>
      </c>
      <c r="C134" s="34">
        <v>971</v>
      </c>
      <c r="D134" s="219">
        <v>170</v>
      </c>
      <c r="E134" s="36">
        <v>17</v>
      </c>
      <c r="F134" s="34">
        <v>0</v>
      </c>
      <c r="G134" s="34">
        <v>0</v>
      </c>
    </row>
    <row r="135" spans="1:7" ht="12.75">
      <c r="A135" s="27">
        <v>744</v>
      </c>
      <c r="B135" s="28" t="s">
        <v>175</v>
      </c>
      <c r="C135" s="27">
        <v>1400</v>
      </c>
      <c r="D135" s="219">
        <v>114</v>
      </c>
      <c r="E135" s="29">
        <v>0</v>
      </c>
      <c r="F135" s="27">
        <v>0</v>
      </c>
      <c r="G135" s="27">
        <v>0</v>
      </c>
    </row>
    <row r="136" spans="1:7" ht="12.75">
      <c r="A136" s="27">
        <v>745</v>
      </c>
      <c r="B136" s="28" t="s">
        <v>176</v>
      </c>
      <c r="C136" s="27">
        <v>1450</v>
      </c>
      <c r="D136" s="219">
        <v>107</v>
      </c>
      <c r="E136" s="29">
        <v>0</v>
      </c>
      <c r="F136" s="27">
        <v>0</v>
      </c>
      <c r="G136" s="27">
        <v>0</v>
      </c>
    </row>
    <row r="137" spans="1:7" ht="12.75">
      <c r="A137" s="27">
        <v>746</v>
      </c>
      <c r="B137" s="28" t="s">
        <v>177</v>
      </c>
      <c r="C137" s="27">
        <v>971</v>
      </c>
      <c r="D137" s="219">
        <v>170</v>
      </c>
      <c r="E137" s="29">
        <v>150</v>
      </c>
      <c r="F137" s="27">
        <v>0</v>
      </c>
      <c r="G137" s="27">
        <v>0</v>
      </c>
    </row>
    <row r="138" spans="1:7" ht="12.75">
      <c r="A138" s="27">
        <v>747</v>
      </c>
      <c r="B138" s="28" t="s">
        <v>178</v>
      </c>
      <c r="C138" s="27">
        <v>971</v>
      </c>
      <c r="D138" s="219">
        <v>170</v>
      </c>
      <c r="E138" s="29">
        <v>0</v>
      </c>
      <c r="F138" s="27">
        <v>0</v>
      </c>
      <c r="G138" s="27">
        <v>0</v>
      </c>
    </row>
    <row r="139" spans="1:7" ht="12.75">
      <c r="A139" s="27">
        <v>748</v>
      </c>
      <c r="B139" s="28" t="s">
        <v>179</v>
      </c>
      <c r="C139" s="27">
        <v>1250</v>
      </c>
      <c r="D139" s="219">
        <v>134</v>
      </c>
      <c r="E139" s="29">
        <v>0</v>
      </c>
      <c r="F139" s="27">
        <v>0</v>
      </c>
      <c r="G139" s="27">
        <v>0</v>
      </c>
    </row>
    <row r="140" spans="1:7" ht="12.75">
      <c r="A140" s="27">
        <v>749</v>
      </c>
      <c r="B140" s="28" t="s">
        <v>73</v>
      </c>
      <c r="C140" s="27">
        <v>971</v>
      </c>
      <c r="D140" s="219">
        <v>170</v>
      </c>
      <c r="E140" s="29">
        <v>0</v>
      </c>
      <c r="F140" s="27">
        <v>0</v>
      </c>
      <c r="G140" s="27">
        <v>0</v>
      </c>
    </row>
    <row r="141" spans="1:7" ht="12.75">
      <c r="A141" s="27">
        <v>750</v>
      </c>
      <c r="B141" s="28" t="s">
        <v>72</v>
      </c>
      <c r="C141" s="27">
        <v>971</v>
      </c>
      <c r="D141" s="219">
        <v>170</v>
      </c>
      <c r="E141" s="29">
        <v>0</v>
      </c>
      <c r="F141" s="27">
        <v>0</v>
      </c>
      <c r="G141" s="27">
        <v>0</v>
      </c>
    </row>
    <row r="142" spans="1:7" ht="12.75">
      <c r="A142" s="27">
        <v>751</v>
      </c>
      <c r="B142" s="28" t="s">
        <v>180</v>
      </c>
      <c r="C142" s="27">
        <v>1500</v>
      </c>
      <c r="D142" s="219">
        <v>101</v>
      </c>
      <c r="E142" s="29">
        <v>150</v>
      </c>
      <c r="F142" s="27">
        <v>0</v>
      </c>
      <c r="G142" s="27">
        <v>0</v>
      </c>
    </row>
    <row r="143" spans="1:7" ht="12.75">
      <c r="A143" s="27">
        <v>752</v>
      </c>
      <c r="B143" s="28" t="s">
        <v>181</v>
      </c>
      <c r="C143" s="27">
        <v>2913</v>
      </c>
      <c r="D143" s="219">
        <v>0</v>
      </c>
      <c r="E143" s="29">
        <v>20</v>
      </c>
      <c r="F143" s="27">
        <v>0</v>
      </c>
      <c r="G143" s="27">
        <v>0</v>
      </c>
    </row>
    <row r="144" spans="1:7" ht="12.75">
      <c r="A144" s="27">
        <v>753</v>
      </c>
      <c r="B144" s="28" t="s">
        <v>182</v>
      </c>
      <c r="C144" s="27">
        <v>1942</v>
      </c>
      <c r="D144" s="219">
        <v>43</v>
      </c>
      <c r="E144" s="29">
        <v>150</v>
      </c>
      <c r="F144" s="27">
        <v>0</v>
      </c>
      <c r="G144" s="27">
        <v>0</v>
      </c>
    </row>
    <row r="145" spans="1:7" ht="12.75">
      <c r="A145" s="27">
        <v>754</v>
      </c>
      <c r="B145" s="28" t="s">
        <v>183</v>
      </c>
      <c r="C145" s="27">
        <v>971</v>
      </c>
      <c r="D145" s="219">
        <v>170</v>
      </c>
      <c r="E145" s="29">
        <v>0</v>
      </c>
      <c r="F145" s="27">
        <v>0</v>
      </c>
      <c r="G145" s="27">
        <v>0</v>
      </c>
    </row>
    <row r="146" spans="1:7" ht="12.75">
      <c r="A146" s="27">
        <v>755</v>
      </c>
      <c r="B146" s="28" t="s">
        <v>184</v>
      </c>
      <c r="C146" s="27">
        <v>971</v>
      </c>
      <c r="D146" s="219">
        <v>170</v>
      </c>
      <c r="E146" s="29">
        <v>0</v>
      </c>
      <c r="F146" s="27">
        <v>0</v>
      </c>
      <c r="G146" s="27">
        <v>0</v>
      </c>
    </row>
    <row r="147" spans="1:7" ht="12.75">
      <c r="A147" s="27">
        <v>756</v>
      </c>
      <c r="B147" s="28" t="s">
        <v>185</v>
      </c>
      <c r="C147" s="27">
        <v>1290</v>
      </c>
      <c r="D147" s="219">
        <v>128</v>
      </c>
      <c r="E147" s="29">
        <v>0</v>
      </c>
      <c r="F147" s="27">
        <v>0</v>
      </c>
      <c r="G147" s="27">
        <v>0</v>
      </c>
    </row>
    <row r="148" spans="1:7" ht="12.75">
      <c r="A148" s="27">
        <v>757</v>
      </c>
      <c r="B148" s="28" t="s">
        <v>186</v>
      </c>
      <c r="C148" s="27">
        <v>971</v>
      </c>
      <c r="D148" s="219">
        <v>170</v>
      </c>
      <c r="E148" s="29">
        <v>0</v>
      </c>
      <c r="F148" s="27">
        <v>0</v>
      </c>
      <c r="G148" s="27">
        <v>0</v>
      </c>
    </row>
    <row r="149" spans="1:7" ht="12.75">
      <c r="A149" s="27">
        <v>758</v>
      </c>
      <c r="B149" s="28" t="s">
        <v>187</v>
      </c>
      <c r="C149" s="27">
        <v>971</v>
      </c>
      <c r="D149" s="219">
        <v>170</v>
      </c>
      <c r="E149" s="29">
        <v>0</v>
      </c>
      <c r="F149" s="27">
        <v>0</v>
      </c>
      <c r="G149" s="27">
        <v>0</v>
      </c>
    </row>
    <row r="150" spans="1:7" ht="12.75">
      <c r="A150" s="27">
        <v>759</v>
      </c>
      <c r="B150" s="28" t="s">
        <v>188</v>
      </c>
      <c r="C150" s="27">
        <v>971</v>
      </c>
      <c r="D150" s="219">
        <v>170</v>
      </c>
      <c r="E150" s="29">
        <v>150</v>
      </c>
      <c r="F150" s="27">
        <v>0</v>
      </c>
      <c r="G150" s="27">
        <v>0</v>
      </c>
    </row>
    <row r="151" spans="1:7" ht="12.75">
      <c r="A151" s="27">
        <v>760</v>
      </c>
      <c r="B151" s="28" t="s">
        <v>189</v>
      </c>
      <c r="C151" s="27">
        <v>1400</v>
      </c>
      <c r="D151" s="219">
        <v>114</v>
      </c>
      <c r="E151" s="29">
        <v>0</v>
      </c>
      <c r="F151" s="27">
        <v>0</v>
      </c>
      <c r="G151" s="27">
        <v>0</v>
      </c>
    </row>
    <row r="152" spans="1:7" ht="12.75">
      <c r="A152" s="27">
        <v>761</v>
      </c>
      <c r="B152" s="28" t="s">
        <v>190</v>
      </c>
      <c r="C152" s="27">
        <v>1700</v>
      </c>
      <c r="D152" s="219">
        <v>75</v>
      </c>
      <c r="E152" s="29">
        <v>150</v>
      </c>
      <c r="F152" s="27">
        <v>0</v>
      </c>
      <c r="G152" s="27">
        <v>0</v>
      </c>
    </row>
    <row r="153" spans="1:7" ht="12.75">
      <c r="A153" s="27">
        <v>762</v>
      </c>
      <c r="B153" s="28" t="s">
        <v>191</v>
      </c>
      <c r="C153" s="27">
        <v>971</v>
      </c>
      <c r="D153" s="219">
        <v>170</v>
      </c>
      <c r="E153" s="29">
        <v>0</v>
      </c>
      <c r="F153" s="27">
        <v>0</v>
      </c>
      <c r="G153" s="27">
        <v>0</v>
      </c>
    </row>
    <row r="154" spans="1:7" ht="12.75">
      <c r="A154" s="27">
        <v>763</v>
      </c>
      <c r="B154" s="28" t="s">
        <v>192</v>
      </c>
      <c r="C154" s="27">
        <v>971</v>
      </c>
      <c r="D154" s="219">
        <v>170</v>
      </c>
      <c r="E154" s="29">
        <v>0</v>
      </c>
      <c r="F154" s="27">
        <v>0</v>
      </c>
      <c r="G154" s="27">
        <v>0</v>
      </c>
    </row>
    <row r="155" spans="1:7" ht="12.75">
      <c r="A155" s="27">
        <v>764</v>
      </c>
      <c r="B155" s="28" t="s">
        <v>193</v>
      </c>
      <c r="C155" s="27">
        <v>1500</v>
      </c>
      <c r="D155" s="219">
        <v>101</v>
      </c>
      <c r="E155" s="29">
        <v>150</v>
      </c>
      <c r="F155" s="27">
        <v>0</v>
      </c>
      <c r="G155" s="27">
        <v>0</v>
      </c>
    </row>
    <row r="156" spans="1:7" ht="12.75">
      <c r="A156" s="27">
        <v>765</v>
      </c>
      <c r="B156" s="28" t="s">
        <v>194</v>
      </c>
      <c r="C156" s="27">
        <v>1500</v>
      </c>
      <c r="D156" s="219">
        <v>101</v>
      </c>
      <c r="E156" s="29">
        <v>150</v>
      </c>
      <c r="F156" s="27">
        <v>0</v>
      </c>
      <c r="G156" s="27">
        <v>0</v>
      </c>
    </row>
    <row r="157" spans="1:7" ht="12.75">
      <c r="A157" s="27">
        <v>766</v>
      </c>
      <c r="B157" s="28" t="s">
        <v>195</v>
      </c>
      <c r="C157" s="27">
        <v>1942</v>
      </c>
      <c r="D157" s="219">
        <v>43</v>
      </c>
      <c r="E157" s="29">
        <v>150</v>
      </c>
      <c r="F157" s="27">
        <v>0</v>
      </c>
      <c r="G157" s="27">
        <v>0</v>
      </c>
    </row>
    <row r="158" spans="1:7" ht="12.75">
      <c r="A158" s="27">
        <v>767</v>
      </c>
      <c r="B158" s="28" t="s">
        <v>196</v>
      </c>
      <c r="C158" s="27">
        <v>1700</v>
      </c>
      <c r="D158" s="219">
        <v>75</v>
      </c>
      <c r="E158" s="29">
        <v>150</v>
      </c>
      <c r="F158" s="27">
        <v>0</v>
      </c>
      <c r="G158" s="27">
        <v>0</v>
      </c>
    </row>
    <row r="159" spans="1:7" ht="12.75">
      <c r="A159" s="27">
        <v>768</v>
      </c>
      <c r="B159" s="28" t="s">
        <v>197</v>
      </c>
      <c r="C159" s="27">
        <v>971</v>
      </c>
      <c r="D159" s="219">
        <v>170</v>
      </c>
      <c r="E159" s="29">
        <v>150</v>
      </c>
      <c r="F159" s="27">
        <v>0</v>
      </c>
      <c r="G159" s="27">
        <v>0</v>
      </c>
    </row>
    <row r="160" spans="1:7" ht="12.75">
      <c r="A160" s="27">
        <v>769</v>
      </c>
      <c r="B160" s="28" t="s">
        <v>198</v>
      </c>
      <c r="C160" s="27">
        <v>2913</v>
      </c>
      <c r="D160" s="219">
        <v>0</v>
      </c>
      <c r="E160" s="29">
        <v>0</v>
      </c>
      <c r="F160" s="27">
        <v>0</v>
      </c>
      <c r="G160" s="27">
        <v>0</v>
      </c>
    </row>
    <row r="161" spans="1:7" ht="12.75">
      <c r="A161" s="27">
        <v>770</v>
      </c>
      <c r="B161" s="28" t="s">
        <v>199</v>
      </c>
      <c r="C161" s="27">
        <v>2913</v>
      </c>
      <c r="D161" s="219">
        <v>0</v>
      </c>
      <c r="E161" s="29">
        <v>0</v>
      </c>
      <c r="F161" s="27">
        <v>0</v>
      </c>
      <c r="G161" s="27">
        <v>0</v>
      </c>
    </row>
    <row r="162" spans="1:7" ht="12.75">
      <c r="A162" s="27">
        <v>771</v>
      </c>
      <c r="B162" s="28" t="s">
        <v>200</v>
      </c>
      <c r="C162" s="27">
        <v>971</v>
      </c>
      <c r="D162" s="219">
        <v>170</v>
      </c>
      <c r="E162" s="29">
        <v>0</v>
      </c>
      <c r="F162" s="27">
        <v>0</v>
      </c>
      <c r="G162" s="27">
        <v>620</v>
      </c>
    </row>
    <row r="163" spans="1:7" ht="12.75">
      <c r="A163" s="27">
        <v>772</v>
      </c>
      <c r="B163" s="28" t="s">
        <v>201</v>
      </c>
      <c r="C163" s="27">
        <v>971</v>
      </c>
      <c r="D163" s="219">
        <v>170</v>
      </c>
      <c r="E163" s="29">
        <v>0</v>
      </c>
      <c r="F163" s="27">
        <v>0</v>
      </c>
      <c r="G163" s="27">
        <v>620</v>
      </c>
    </row>
    <row r="164" spans="1:7" ht="12.75">
      <c r="A164" s="27">
        <v>773</v>
      </c>
      <c r="B164" s="28" t="s">
        <v>202</v>
      </c>
      <c r="C164" s="27">
        <v>1942</v>
      </c>
      <c r="D164" s="219">
        <v>43</v>
      </c>
      <c r="E164" s="29">
        <v>0</v>
      </c>
      <c r="F164" s="27">
        <v>0</v>
      </c>
      <c r="G164" s="27">
        <v>669</v>
      </c>
    </row>
    <row r="165" spans="1:7" ht="12.75">
      <c r="A165" s="27">
        <v>774</v>
      </c>
      <c r="B165" s="28" t="s">
        <v>203</v>
      </c>
      <c r="C165" s="27">
        <v>1700</v>
      </c>
      <c r="D165" s="219">
        <v>75</v>
      </c>
      <c r="E165" s="29">
        <v>0</v>
      </c>
      <c r="F165" s="27">
        <v>0</v>
      </c>
      <c r="G165" s="27">
        <v>657</v>
      </c>
    </row>
    <row r="166" spans="1:7" ht="12.75">
      <c r="A166" s="27">
        <v>775</v>
      </c>
      <c r="B166" s="28" t="s">
        <v>204</v>
      </c>
      <c r="C166" s="27">
        <v>1400</v>
      </c>
      <c r="D166" s="219">
        <v>114</v>
      </c>
      <c r="E166" s="29">
        <v>150</v>
      </c>
      <c r="F166" s="27">
        <v>0</v>
      </c>
      <c r="G166" s="27">
        <v>0</v>
      </c>
    </row>
    <row r="167" spans="1:7" ht="12.75">
      <c r="A167" s="27">
        <v>776</v>
      </c>
      <c r="B167" s="28" t="s">
        <v>205</v>
      </c>
      <c r="C167" s="27">
        <v>971</v>
      </c>
      <c r="D167" s="219">
        <v>170</v>
      </c>
      <c r="E167" s="29">
        <v>0</v>
      </c>
      <c r="F167" s="27">
        <v>0</v>
      </c>
      <c r="G167" s="27">
        <v>0</v>
      </c>
    </row>
    <row r="168" spans="1:7" ht="12.75">
      <c r="A168" s="27">
        <v>777</v>
      </c>
      <c r="B168" s="28" t="s">
        <v>206</v>
      </c>
      <c r="C168" s="27">
        <v>971</v>
      </c>
      <c r="D168" s="219">
        <v>170</v>
      </c>
      <c r="E168" s="29">
        <v>0</v>
      </c>
      <c r="F168" s="27">
        <v>0</v>
      </c>
      <c r="G168" s="27">
        <v>155</v>
      </c>
    </row>
    <row r="169" spans="1:7" ht="12.75">
      <c r="A169" s="27">
        <v>778</v>
      </c>
      <c r="B169" s="28" t="s">
        <v>207</v>
      </c>
      <c r="C169" s="27">
        <v>1692</v>
      </c>
      <c r="D169" s="219">
        <v>76</v>
      </c>
      <c r="E169" s="29">
        <v>17</v>
      </c>
      <c r="F169" s="27">
        <v>0</v>
      </c>
      <c r="G169" s="27">
        <v>0</v>
      </c>
    </row>
    <row r="170" spans="1:7" ht="12.75">
      <c r="A170" s="27">
        <v>779</v>
      </c>
      <c r="B170" s="30" t="s">
        <v>208</v>
      </c>
      <c r="C170" s="27">
        <v>853</v>
      </c>
      <c r="D170" s="219">
        <v>170</v>
      </c>
      <c r="E170" s="29">
        <v>0</v>
      </c>
      <c r="F170" s="27">
        <v>0</v>
      </c>
      <c r="G170" s="27">
        <v>0</v>
      </c>
    </row>
    <row r="171" spans="1:7" ht="12.75">
      <c r="A171" s="27">
        <v>780</v>
      </c>
      <c r="B171" s="28" t="s">
        <v>209</v>
      </c>
      <c r="C171" s="27">
        <v>3146</v>
      </c>
      <c r="D171" s="219">
        <v>0</v>
      </c>
      <c r="E171" s="29">
        <v>0</v>
      </c>
      <c r="F171" s="27">
        <v>0</v>
      </c>
      <c r="G171" s="27">
        <v>0</v>
      </c>
    </row>
    <row r="172" spans="1:7" ht="12.75">
      <c r="A172" s="27">
        <v>781</v>
      </c>
      <c r="B172" s="28" t="s">
        <v>210</v>
      </c>
      <c r="C172" s="27">
        <v>2288</v>
      </c>
      <c r="D172" s="219">
        <v>0</v>
      </c>
      <c r="E172" s="29">
        <v>0</v>
      </c>
      <c r="F172" s="27">
        <v>0</v>
      </c>
      <c r="G172" s="27">
        <v>0</v>
      </c>
    </row>
    <row r="173" spans="1:7" ht="12.75">
      <c r="A173" s="27">
        <v>783</v>
      </c>
      <c r="B173" s="28" t="s">
        <v>211</v>
      </c>
      <c r="C173" s="27">
        <v>971</v>
      </c>
      <c r="D173" s="219">
        <v>170</v>
      </c>
      <c r="E173" s="29">
        <v>0</v>
      </c>
      <c r="F173" s="27">
        <v>0</v>
      </c>
      <c r="G173" s="27">
        <v>0</v>
      </c>
    </row>
    <row r="174" spans="1:7" ht="12.75">
      <c r="A174" s="27">
        <v>784</v>
      </c>
      <c r="B174" s="28" t="s">
        <v>212</v>
      </c>
      <c r="C174" s="27">
        <v>2490</v>
      </c>
      <c r="D174" s="219">
        <v>0</v>
      </c>
      <c r="E174" s="29">
        <v>0</v>
      </c>
      <c r="F174" s="27">
        <v>0</v>
      </c>
      <c r="G174" s="27">
        <v>0</v>
      </c>
    </row>
    <row r="175" spans="1:7" ht="12.75">
      <c r="A175" s="27">
        <v>788</v>
      </c>
      <c r="B175" s="28" t="s">
        <v>213</v>
      </c>
      <c r="C175" s="27">
        <v>2000</v>
      </c>
      <c r="D175" s="219">
        <v>36</v>
      </c>
      <c r="E175" s="29">
        <v>0</v>
      </c>
      <c r="F175" s="27">
        <v>0</v>
      </c>
      <c r="G175" s="27">
        <v>0</v>
      </c>
    </row>
    <row r="176" spans="1:7" ht="12.75">
      <c r="A176" s="27">
        <v>789</v>
      </c>
      <c r="B176" s="28" t="s">
        <v>214</v>
      </c>
      <c r="C176" s="27">
        <v>971</v>
      </c>
      <c r="D176" s="219">
        <v>170</v>
      </c>
      <c r="E176" s="29">
        <v>0</v>
      </c>
      <c r="F176" s="27">
        <v>0</v>
      </c>
      <c r="G176" s="27">
        <v>0</v>
      </c>
    </row>
    <row r="177" spans="1:7" ht="12.75">
      <c r="A177" s="27">
        <v>791</v>
      </c>
      <c r="B177" s="28" t="s">
        <v>215</v>
      </c>
      <c r="C177" s="27">
        <v>2913</v>
      </c>
      <c r="D177" s="219">
        <v>0</v>
      </c>
      <c r="E177" s="29">
        <v>17</v>
      </c>
      <c r="F177" s="27">
        <v>0</v>
      </c>
      <c r="G177" s="27">
        <v>0</v>
      </c>
    </row>
    <row r="178" spans="1:7" ht="12.75">
      <c r="A178" s="27">
        <v>792</v>
      </c>
      <c r="B178" s="28" t="s">
        <v>216</v>
      </c>
      <c r="C178" s="27">
        <v>2913</v>
      </c>
      <c r="D178" s="219">
        <v>0</v>
      </c>
      <c r="E178" s="29">
        <v>0</v>
      </c>
      <c r="F178" s="27">
        <v>0</v>
      </c>
      <c r="G178" s="27">
        <v>0</v>
      </c>
    </row>
    <row r="179" spans="1:7" ht="12.75">
      <c r="A179" s="27">
        <v>793</v>
      </c>
      <c r="B179" s="28" t="s">
        <v>217</v>
      </c>
      <c r="C179" s="27">
        <v>2913</v>
      </c>
      <c r="D179" s="219">
        <v>0</v>
      </c>
      <c r="E179" s="29">
        <v>0</v>
      </c>
      <c r="F179" s="27">
        <v>0</v>
      </c>
      <c r="G179" s="27">
        <v>0</v>
      </c>
    </row>
    <row r="180" spans="1:7" ht="12.75">
      <c r="A180" s="27">
        <v>794</v>
      </c>
      <c r="B180" s="28" t="s">
        <v>218</v>
      </c>
      <c r="C180" s="27">
        <v>1840</v>
      </c>
      <c r="D180" s="219">
        <v>57</v>
      </c>
      <c r="E180" s="29">
        <v>0</v>
      </c>
      <c r="F180" s="27">
        <v>0</v>
      </c>
      <c r="G180" s="27">
        <v>0</v>
      </c>
    </row>
    <row r="181" spans="1:7" ht="12.75">
      <c r="A181" s="27">
        <v>795</v>
      </c>
      <c r="B181" s="28" t="s">
        <v>219</v>
      </c>
      <c r="C181" s="27">
        <v>1450</v>
      </c>
      <c r="D181" s="219">
        <v>107</v>
      </c>
      <c r="E181" s="29">
        <v>0</v>
      </c>
      <c r="F181" s="27">
        <v>0</v>
      </c>
      <c r="G181" s="27">
        <v>0</v>
      </c>
    </row>
    <row r="182" spans="1:7" ht="12.75">
      <c r="A182" s="27">
        <v>796</v>
      </c>
      <c r="B182" s="28" t="s">
        <v>220</v>
      </c>
      <c r="C182" s="27">
        <v>1340</v>
      </c>
      <c r="D182" s="219">
        <v>122</v>
      </c>
      <c r="E182" s="29">
        <v>0</v>
      </c>
      <c r="F182" s="27">
        <v>0</v>
      </c>
      <c r="G182" s="27">
        <v>0</v>
      </c>
    </row>
    <row r="183" spans="1:7" ht="12.75">
      <c r="A183" s="27">
        <v>797</v>
      </c>
      <c r="B183" s="28" t="s">
        <v>221</v>
      </c>
      <c r="C183" s="27">
        <v>1170</v>
      </c>
      <c r="D183" s="219">
        <v>144</v>
      </c>
      <c r="E183" s="29">
        <v>0</v>
      </c>
      <c r="F183" s="27">
        <v>0</v>
      </c>
      <c r="G183" s="27">
        <v>0</v>
      </c>
    </row>
    <row r="184" spans="1:7" ht="12.75">
      <c r="A184" s="27">
        <v>798</v>
      </c>
      <c r="B184" s="28" t="s">
        <v>222</v>
      </c>
      <c r="C184" s="27">
        <v>961</v>
      </c>
      <c r="D184" s="219">
        <v>171</v>
      </c>
      <c r="E184" s="29">
        <v>0</v>
      </c>
      <c r="F184" s="27">
        <v>0</v>
      </c>
      <c r="G184" s="27">
        <v>0</v>
      </c>
    </row>
    <row r="185" spans="1:7" ht="12.75">
      <c r="A185" s="27">
        <v>808</v>
      </c>
      <c r="B185" s="28" t="s">
        <v>223</v>
      </c>
      <c r="C185" s="27">
        <v>1942</v>
      </c>
      <c r="D185" s="219">
        <v>43</v>
      </c>
      <c r="E185" s="29">
        <v>0</v>
      </c>
      <c r="F185" s="27">
        <v>0</v>
      </c>
      <c r="G185" s="27">
        <v>669</v>
      </c>
    </row>
    <row r="186" spans="1:7" ht="12.75">
      <c r="A186" s="27">
        <v>809</v>
      </c>
      <c r="B186" s="28" t="s">
        <v>224</v>
      </c>
      <c r="C186" s="27">
        <v>1782</v>
      </c>
      <c r="D186" s="219">
        <v>64</v>
      </c>
      <c r="E186" s="29">
        <v>0</v>
      </c>
      <c r="F186" s="27">
        <v>0</v>
      </c>
      <c r="G186" s="27">
        <v>669</v>
      </c>
    </row>
    <row r="187" spans="1:7" ht="12.75">
      <c r="A187" s="27">
        <v>810</v>
      </c>
      <c r="B187" s="28" t="s">
        <v>225</v>
      </c>
      <c r="C187" s="27">
        <v>1692</v>
      </c>
      <c r="D187" s="219">
        <v>76</v>
      </c>
      <c r="E187" s="29">
        <v>0</v>
      </c>
      <c r="F187" s="27">
        <v>0</v>
      </c>
      <c r="G187" s="27">
        <v>663</v>
      </c>
    </row>
    <row r="188" spans="1:7" ht="12.75">
      <c r="A188" s="27">
        <v>811</v>
      </c>
      <c r="B188" s="28" t="s">
        <v>226</v>
      </c>
      <c r="C188" s="27">
        <v>1592</v>
      </c>
      <c r="D188" s="219">
        <v>89</v>
      </c>
      <c r="E188" s="29">
        <v>0</v>
      </c>
      <c r="F188" s="27">
        <v>0</v>
      </c>
      <c r="G188" s="27">
        <v>657</v>
      </c>
    </row>
    <row r="189" spans="1:7" ht="12.75">
      <c r="A189" s="27">
        <v>812</v>
      </c>
      <c r="B189" s="28" t="s">
        <v>227</v>
      </c>
      <c r="C189" s="27">
        <v>1600</v>
      </c>
      <c r="D189" s="219">
        <v>88</v>
      </c>
      <c r="E189" s="29">
        <v>0</v>
      </c>
      <c r="F189" s="27">
        <v>0</v>
      </c>
      <c r="G189" s="27">
        <v>657</v>
      </c>
    </row>
    <row r="190" spans="1:7" ht="12.75">
      <c r="A190" s="27">
        <v>813</v>
      </c>
      <c r="B190" s="28" t="s">
        <v>228</v>
      </c>
      <c r="C190" s="27">
        <v>971</v>
      </c>
      <c r="D190" s="219">
        <v>170</v>
      </c>
      <c r="E190" s="29">
        <v>0</v>
      </c>
      <c r="F190" s="27">
        <v>0</v>
      </c>
      <c r="G190" s="27">
        <v>620</v>
      </c>
    </row>
    <row r="191" spans="1:7" ht="12.75">
      <c r="A191" s="27">
        <v>814</v>
      </c>
      <c r="B191" s="28" t="s">
        <v>229</v>
      </c>
      <c r="C191" s="27">
        <v>971</v>
      </c>
      <c r="D191" s="219">
        <v>170</v>
      </c>
      <c r="E191" s="29">
        <v>0</v>
      </c>
      <c r="F191" s="27">
        <v>0</v>
      </c>
      <c r="G191" s="27">
        <v>155</v>
      </c>
    </row>
    <row r="192" spans="1:7" ht="12.75">
      <c r="A192" s="27">
        <v>815</v>
      </c>
      <c r="B192" s="28" t="s">
        <v>230</v>
      </c>
      <c r="C192" s="27">
        <v>971</v>
      </c>
      <c r="D192" s="219">
        <v>170</v>
      </c>
      <c r="E192" s="29">
        <v>17</v>
      </c>
      <c r="F192" s="27">
        <v>0</v>
      </c>
      <c r="G192" s="27">
        <v>0</v>
      </c>
    </row>
    <row r="193" spans="1:7" ht="12.75">
      <c r="A193" s="27">
        <v>816</v>
      </c>
      <c r="B193" s="28" t="s">
        <v>231</v>
      </c>
      <c r="C193" s="27">
        <v>1600</v>
      </c>
      <c r="D193" s="219">
        <v>88</v>
      </c>
      <c r="E193" s="29">
        <v>17</v>
      </c>
      <c r="F193" s="27">
        <v>0</v>
      </c>
      <c r="G193" s="27">
        <v>0</v>
      </c>
    </row>
    <row r="194" spans="1:7" ht="12.75">
      <c r="A194" s="27">
        <v>817</v>
      </c>
      <c r="B194" s="28" t="s">
        <v>232</v>
      </c>
      <c r="C194" s="27">
        <v>1782</v>
      </c>
      <c r="D194" s="219">
        <v>64</v>
      </c>
      <c r="E194" s="29">
        <v>0</v>
      </c>
      <c r="F194" s="27">
        <v>0</v>
      </c>
      <c r="G194" s="27">
        <v>839</v>
      </c>
    </row>
    <row r="195" spans="1:7" ht="12.75">
      <c r="A195" s="27">
        <v>818</v>
      </c>
      <c r="B195" s="28" t="s">
        <v>233</v>
      </c>
      <c r="C195" s="27">
        <v>971</v>
      </c>
      <c r="D195" s="219">
        <v>170</v>
      </c>
      <c r="E195" s="29">
        <v>0</v>
      </c>
      <c r="F195" s="27">
        <v>0</v>
      </c>
      <c r="G195" s="27">
        <v>659</v>
      </c>
    </row>
    <row r="196" spans="1:7" ht="12.75">
      <c r="A196" s="27">
        <v>819</v>
      </c>
      <c r="B196" s="28" t="s">
        <v>234</v>
      </c>
      <c r="C196" s="27">
        <v>971</v>
      </c>
      <c r="D196" s="219">
        <v>170</v>
      </c>
      <c r="E196" s="29">
        <v>0</v>
      </c>
      <c r="F196" s="27">
        <v>0</v>
      </c>
      <c r="G196" s="27">
        <v>155</v>
      </c>
    </row>
    <row r="197" spans="1:7" ht="12.75">
      <c r="A197" s="27">
        <v>820</v>
      </c>
      <c r="B197" s="28" t="s">
        <v>235</v>
      </c>
      <c r="C197" s="27">
        <v>1692</v>
      </c>
      <c r="D197" s="219">
        <v>76</v>
      </c>
      <c r="E197" s="29">
        <v>0</v>
      </c>
      <c r="F197" s="27">
        <v>0</v>
      </c>
      <c r="G197" s="27">
        <v>839</v>
      </c>
    </row>
    <row r="198" spans="1:7" ht="12.75">
      <c r="A198" s="27">
        <v>821</v>
      </c>
      <c r="B198" s="28" t="s">
        <v>236</v>
      </c>
      <c r="C198" s="27">
        <v>1592</v>
      </c>
      <c r="D198" s="219">
        <v>89</v>
      </c>
      <c r="E198" s="29">
        <v>0</v>
      </c>
      <c r="F198" s="27">
        <v>0</v>
      </c>
      <c r="G198" s="27">
        <v>839</v>
      </c>
    </row>
    <row r="199" spans="1:7" ht="12.75">
      <c r="A199" s="27">
        <v>822</v>
      </c>
      <c r="B199" s="28" t="s">
        <v>237</v>
      </c>
      <c r="C199" s="27">
        <v>971</v>
      </c>
      <c r="D199" s="219">
        <v>170</v>
      </c>
      <c r="E199" s="29">
        <v>0</v>
      </c>
      <c r="F199" s="27">
        <v>0</v>
      </c>
      <c r="G199" s="27">
        <v>155</v>
      </c>
    </row>
    <row r="200" spans="1:7" ht="12.75">
      <c r="A200" s="27">
        <v>823</v>
      </c>
      <c r="B200" s="28" t="s">
        <v>238</v>
      </c>
      <c r="C200" s="27">
        <v>1700</v>
      </c>
      <c r="D200" s="219">
        <v>75</v>
      </c>
      <c r="E200" s="29">
        <v>0</v>
      </c>
      <c r="F200" s="27">
        <v>0</v>
      </c>
      <c r="G200" s="27">
        <v>657</v>
      </c>
    </row>
    <row r="201" spans="1:7" ht="12.75">
      <c r="A201" s="27">
        <v>824</v>
      </c>
      <c r="B201" s="28" t="s">
        <v>239</v>
      </c>
      <c r="C201" s="27">
        <v>1400</v>
      </c>
      <c r="D201" s="219">
        <v>114</v>
      </c>
      <c r="E201" s="29">
        <v>0</v>
      </c>
      <c r="F201" s="27">
        <v>0</v>
      </c>
      <c r="G201" s="27">
        <v>657</v>
      </c>
    </row>
    <row r="202" spans="1:7" ht="12.75">
      <c r="A202" s="27">
        <v>825</v>
      </c>
      <c r="B202" s="28" t="s">
        <v>240</v>
      </c>
      <c r="C202" s="27">
        <v>1300</v>
      </c>
      <c r="D202" s="219">
        <v>127</v>
      </c>
      <c r="E202" s="29">
        <v>0</v>
      </c>
      <c r="F202" s="27">
        <v>0</v>
      </c>
      <c r="G202" s="27">
        <v>657</v>
      </c>
    </row>
    <row r="203" spans="1:7" ht="12.75">
      <c r="A203" s="27">
        <v>826</v>
      </c>
      <c r="B203" s="28" t="s">
        <v>241</v>
      </c>
      <c r="C203" s="27">
        <v>1250</v>
      </c>
      <c r="D203" s="219">
        <v>134</v>
      </c>
      <c r="E203" s="29">
        <v>0</v>
      </c>
      <c r="F203" s="27">
        <v>0</v>
      </c>
      <c r="G203" s="27">
        <v>657</v>
      </c>
    </row>
    <row r="204" spans="1:7" ht="12.75">
      <c r="A204" s="27">
        <v>827</v>
      </c>
      <c r="B204" s="28" t="s">
        <v>242</v>
      </c>
      <c r="C204" s="27">
        <v>3146</v>
      </c>
      <c r="D204" s="219">
        <v>0</v>
      </c>
      <c r="E204" s="29">
        <v>0</v>
      </c>
      <c r="F204" s="27">
        <v>0</v>
      </c>
      <c r="G204" s="27">
        <v>0</v>
      </c>
    </row>
    <row r="205" spans="1:7" ht="12.75">
      <c r="A205" s="27">
        <v>828</v>
      </c>
      <c r="B205" s="28" t="s">
        <v>243</v>
      </c>
      <c r="C205" s="27">
        <v>2913</v>
      </c>
      <c r="D205" s="219">
        <v>0</v>
      </c>
      <c r="E205" s="29">
        <v>0</v>
      </c>
      <c r="F205" s="27">
        <v>0</v>
      </c>
      <c r="G205" s="27">
        <v>0</v>
      </c>
    </row>
    <row r="206" spans="1:7" ht="12.75">
      <c r="A206" s="27">
        <v>829</v>
      </c>
      <c r="B206" s="28" t="s">
        <v>244</v>
      </c>
      <c r="C206" s="27">
        <v>1942</v>
      </c>
      <c r="D206" s="219">
        <v>43</v>
      </c>
      <c r="E206" s="29">
        <v>0</v>
      </c>
      <c r="F206" s="27">
        <v>0</v>
      </c>
      <c r="G206" s="27">
        <v>0</v>
      </c>
    </row>
    <row r="207" spans="1:7" ht="12.75">
      <c r="A207" s="27">
        <v>830</v>
      </c>
      <c r="B207" s="28" t="s">
        <v>245</v>
      </c>
      <c r="C207" s="27">
        <v>1740</v>
      </c>
      <c r="D207" s="219">
        <v>70</v>
      </c>
      <c r="E207" s="29">
        <v>0</v>
      </c>
      <c r="F207" s="27">
        <v>0</v>
      </c>
      <c r="G207" s="27">
        <v>0</v>
      </c>
    </row>
    <row r="208" spans="1:7" ht="12.75">
      <c r="A208" s="27">
        <v>831</v>
      </c>
      <c r="B208" s="28" t="s">
        <v>246</v>
      </c>
      <c r="C208" s="27">
        <v>971</v>
      </c>
      <c r="D208" s="219">
        <v>170</v>
      </c>
      <c r="E208" s="29">
        <v>0</v>
      </c>
      <c r="F208" s="27">
        <v>0</v>
      </c>
      <c r="G208" s="27">
        <v>0</v>
      </c>
    </row>
    <row r="209" spans="1:7" ht="12.75">
      <c r="A209" s="27">
        <v>832</v>
      </c>
      <c r="B209" s="28" t="s">
        <v>247</v>
      </c>
      <c r="C209" s="27">
        <v>2913</v>
      </c>
      <c r="D209" s="219">
        <v>0</v>
      </c>
      <c r="E209" s="29">
        <v>0</v>
      </c>
      <c r="F209" s="27">
        <v>0</v>
      </c>
      <c r="G209" s="27">
        <v>0</v>
      </c>
    </row>
    <row r="210" spans="1:7" ht="12.75">
      <c r="A210" s="27">
        <v>833</v>
      </c>
      <c r="B210" s="28" t="s">
        <v>248</v>
      </c>
      <c r="C210" s="27">
        <v>971</v>
      </c>
      <c r="D210" s="219">
        <v>170</v>
      </c>
      <c r="E210" s="29">
        <v>0</v>
      </c>
      <c r="F210" s="27">
        <v>0</v>
      </c>
      <c r="G210" s="27">
        <v>155</v>
      </c>
    </row>
    <row r="211" spans="1:7" ht="12.75">
      <c r="A211" s="27">
        <v>834</v>
      </c>
      <c r="B211" s="28" t="s">
        <v>249</v>
      </c>
      <c r="C211" s="27">
        <v>971</v>
      </c>
      <c r="D211" s="219">
        <v>170</v>
      </c>
      <c r="E211" s="29">
        <v>0</v>
      </c>
      <c r="F211" s="27">
        <v>0</v>
      </c>
      <c r="G211" s="27">
        <v>155</v>
      </c>
    </row>
    <row r="212" spans="1:7" ht="12.75">
      <c r="A212" s="27">
        <v>835</v>
      </c>
      <c r="B212" s="28" t="s">
        <v>250</v>
      </c>
      <c r="C212" s="27">
        <v>971</v>
      </c>
      <c r="D212" s="219">
        <v>170</v>
      </c>
      <c r="E212" s="29">
        <v>0</v>
      </c>
      <c r="F212" s="27">
        <v>0</v>
      </c>
      <c r="G212" s="27">
        <v>0</v>
      </c>
    </row>
    <row r="213" spans="1:7" ht="12.75">
      <c r="A213" s="27">
        <v>836</v>
      </c>
      <c r="B213" s="28" t="s">
        <v>251</v>
      </c>
      <c r="C213" s="27">
        <v>971</v>
      </c>
      <c r="D213" s="219">
        <v>170</v>
      </c>
      <c r="E213" s="29">
        <v>0</v>
      </c>
      <c r="F213" s="27">
        <v>0</v>
      </c>
      <c r="G213" s="27">
        <v>155</v>
      </c>
    </row>
    <row r="214" spans="1:7" ht="12.75">
      <c r="A214" s="27">
        <v>837</v>
      </c>
      <c r="B214" s="28" t="s">
        <v>252</v>
      </c>
      <c r="C214" s="27">
        <v>971</v>
      </c>
      <c r="D214" s="219">
        <v>170</v>
      </c>
      <c r="E214" s="29">
        <v>0</v>
      </c>
      <c r="F214" s="27">
        <v>0</v>
      </c>
      <c r="G214" s="27">
        <v>155</v>
      </c>
    </row>
    <row r="215" spans="1:7" ht="12.75">
      <c r="A215" s="27">
        <v>839</v>
      </c>
      <c r="B215" s="28" t="s">
        <v>253</v>
      </c>
      <c r="C215" s="27">
        <v>971</v>
      </c>
      <c r="D215" s="219">
        <v>170</v>
      </c>
      <c r="E215" s="29">
        <v>0</v>
      </c>
      <c r="F215" s="27">
        <v>0</v>
      </c>
      <c r="G215" s="27">
        <v>155</v>
      </c>
    </row>
    <row r="216" spans="1:7" ht="12.75">
      <c r="A216" s="27">
        <v>840</v>
      </c>
      <c r="B216" s="28" t="s">
        <v>254</v>
      </c>
      <c r="C216" s="27">
        <v>971</v>
      </c>
      <c r="D216" s="219">
        <v>170</v>
      </c>
      <c r="E216" s="29">
        <v>0</v>
      </c>
      <c r="F216" s="27">
        <v>0</v>
      </c>
      <c r="G216" s="27">
        <v>155</v>
      </c>
    </row>
    <row r="217" spans="1:7" ht="12.75">
      <c r="A217" s="27">
        <v>842</v>
      </c>
      <c r="B217" s="28" t="s">
        <v>255</v>
      </c>
      <c r="C217" s="27">
        <v>1500</v>
      </c>
      <c r="D217" s="219">
        <v>101</v>
      </c>
      <c r="E217" s="29">
        <v>0</v>
      </c>
      <c r="F217" s="27">
        <v>0</v>
      </c>
      <c r="G217" s="27">
        <v>0</v>
      </c>
    </row>
    <row r="218" spans="1:7" ht="12.75">
      <c r="A218" s="27">
        <v>843</v>
      </c>
      <c r="B218" s="28" t="s">
        <v>256</v>
      </c>
      <c r="C218" s="27">
        <v>1250</v>
      </c>
      <c r="D218" s="219">
        <v>134</v>
      </c>
      <c r="E218" s="29">
        <v>0</v>
      </c>
      <c r="F218" s="27">
        <v>0</v>
      </c>
      <c r="G218" s="27">
        <v>0</v>
      </c>
    </row>
    <row r="219" spans="1:7" ht="12.75">
      <c r="A219" s="27">
        <v>844</v>
      </c>
      <c r="B219" s="28" t="s">
        <v>257</v>
      </c>
      <c r="C219" s="27">
        <v>1660</v>
      </c>
      <c r="D219" s="219">
        <v>80</v>
      </c>
      <c r="E219" s="29">
        <v>0</v>
      </c>
      <c r="F219" s="27">
        <v>0</v>
      </c>
      <c r="G219" s="27">
        <v>0</v>
      </c>
    </row>
    <row r="220" spans="1:7" ht="12.75">
      <c r="A220" s="27">
        <v>849</v>
      </c>
      <c r="B220" s="28" t="s">
        <v>258</v>
      </c>
      <c r="C220" s="27">
        <v>971</v>
      </c>
      <c r="D220" s="219">
        <v>170</v>
      </c>
      <c r="E220" s="29">
        <v>0</v>
      </c>
      <c r="F220" s="27">
        <v>0</v>
      </c>
      <c r="G220" s="27">
        <v>0</v>
      </c>
    </row>
    <row r="221" spans="1:7" ht="12.75">
      <c r="A221" s="27">
        <v>900</v>
      </c>
      <c r="B221" s="28" t="s">
        <v>259</v>
      </c>
      <c r="C221" s="27">
        <v>3146</v>
      </c>
      <c r="D221" s="219">
        <v>0</v>
      </c>
      <c r="E221" s="29">
        <v>0</v>
      </c>
      <c r="F221" s="27">
        <v>0</v>
      </c>
      <c r="G221" s="27">
        <v>0</v>
      </c>
    </row>
    <row r="222" spans="1:7" ht="12.75">
      <c r="A222" s="27">
        <v>901</v>
      </c>
      <c r="B222" s="28" t="s">
        <v>260</v>
      </c>
      <c r="C222" s="27">
        <v>2913</v>
      </c>
      <c r="D222" s="219">
        <v>0</v>
      </c>
      <c r="E222" s="29">
        <v>0</v>
      </c>
      <c r="F222" s="27">
        <v>0</v>
      </c>
      <c r="G222" s="27">
        <v>0</v>
      </c>
    </row>
    <row r="223" spans="1:7" ht="12.75">
      <c r="A223" s="27">
        <v>902</v>
      </c>
      <c r="B223" s="28" t="s">
        <v>261</v>
      </c>
      <c r="C223" s="27">
        <v>2913</v>
      </c>
      <c r="D223" s="219">
        <v>0</v>
      </c>
      <c r="E223" s="29">
        <v>20</v>
      </c>
      <c r="F223" s="27">
        <v>0</v>
      </c>
      <c r="G223" s="27">
        <v>0</v>
      </c>
    </row>
    <row r="224" spans="1:7" ht="12.75">
      <c r="A224" s="27">
        <v>903</v>
      </c>
      <c r="B224" s="28" t="s">
        <v>262</v>
      </c>
      <c r="C224" s="27">
        <v>2913</v>
      </c>
      <c r="D224" s="219">
        <v>0</v>
      </c>
      <c r="E224" s="29">
        <v>0</v>
      </c>
      <c r="F224" s="27">
        <v>0</v>
      </c>
      <c r="G224" s="27">
        <v>0</v>
      </c>
    </row>
    <row r="225" spans="1:7" ht="12.75">
      <c r="A225" s="27">
        <v>904</v>
      </c>
      <c r="B225" s="28" t="s">
        <v>263</v>
      </c>
      <c r="C225" s="27">
        <v>2100</v>
      </c>
      <c r="D225" s="219">
        <v>23</v>
      </c>
      <c r="E225" s="29">
        <v>0</v>
      </c>
      <c r="F225" s="27">
        <v>0</v>
      </c>
      <c r="G225" s="27">
        <v>0</v>
      </c>
    </row>
    <row r="226" spans="1:7" ht="12.75">
      <c r="A226" s="27">
        <v>905</v>
      </c>
      <c r="B226" s="28" t="s">
        <v>264</v>
      </c>
      <c r="C226" s="27">
        <v>1800</v>
      </c>
      <c r="D226" s="219">
        <v>62</v>
      </c>
      <c r="E226" s="29">
        <v>0</v>
      </c>
      <c r="F226" s="27">
        <v>0</v>
      </c>
      <c r="G226" s="27">
        <v>0</v>
      </c>
    </row>
    <row r="227" spans="1:7" ht="12.75">
      <c r="A227" s="27">
        <v>906</v>
      </c>
      <c r="B227" s="28" t="s">
        <v>265</v>
      </c>
      <c r="C227" s="27">
        <v>1942</v>
      </c>
      <c r="D227" s="219">
        <v>43</v>
      </c>
      <c r="E227" s="29">
        <v>0</v>
      </c>
      <c r="F227" s="27">
        <v>0</v>
      </c>
      <c r="G227" s="27">
        <v>0</v>
      </c>
    </row>
    <row r="228" spans="1:7" ht="12.75">
      <c r="A228" s="27">
        <v>907</v>
      </c>
      <c r="B228" s="28" t="s">
        <v>266</v>
      </c>
      <c r="C228" s="27">
        <v>1782</v>
      </c>
      <c r="D228" s="219">
        <v>64</v>
      </c>
      <c r="E228" s="29">
        <v>0</v>
      </c>
      <c r="F228" s="27">
        <v>0</v>
      </c>
      <c r="G228" s="27">
        <v>0</v>
      </c>
    </row>
    <row r="229" spans="1:7" ht="12.75">
      <c r="A229" s="27">
        <v>908</v>
      </c>
      <c r="B229" s="28" t="s">
        <v>267</v>
      </c>
      <c r="C229" s="27">
        <v>1692</v>
      </c>
      <c r="D229" s="219">
        <v>76</v>
      </c>
      <c r="E229" s="29">
        <v>0</v>
      </c>
      <c r="F229" s="27">
        <v>0</v>
      </c>
      <c r="G229" s="27">
        <v>0</v>
      </c>
    </row>
    <row r="230" spans="1:7" ht="12.75">
      <c r="A230" s="27">
        <v>909</v>
      </c>
      <c r="B230" s="28" t="s">
        <v>268</v>
      </c>
      <c r="C230" s="27">
        <v>1592</v>
      </c>
      <c r="D230" s="219">
        <v>89</v>
      </c>
      <c r="E230" s="29">
        <v>0</v>
      </c>
      <c r="F230" s="27">
        <v>0</v>
      </c>
      <c r="G230" s="27">
        <v>0</v>
      </c>
    </row>
    <row r="231" spans="1:7" ht="12.75">
      <c r="A231" s="27">
        <v>910</v>
      </c>
      <c r="B231" s="28" t="s">
        <v>152</v>
      </c>
      <c r="C231" s="27">
        <v>1942</v>
      </c>
      <c r="D231" s="219">
        <v>43</v>
      </c>
      <c r="E231" s="29">
        <v>150</v>
      </c>
      <c r="F231" s="27">
        <v>0</v>
      </c>
      <c r="G231" s="27">
        <v>0</v>
      </c>
    </row>
    <row r="232" spans="1:7" ht="12.75">
      <c r="A232" s="27">
        <v>911</v>
      </c>
      <c r="B232" s="28" t="s">
        <v>162</v>
      </c>
      <c r="C232" s="27">
        <v>1592</v>
      </c>
      <c r="D232" s="219">
        <v>89</v>
      </c>
      <c r="E232" s="29">
        <v>0</v>
      </c>
      <c r="F232" s="27">
        <v>0</v>
      </c>
      <c r="G232" s="27">
        <v>0</v>
      </c>
    </row>
    <row r="233" spans="1:7" ht="12.75">
      <c r="A233" s="27">
        <v>912</v>
      </c>
      <c r="B233" s="28" t="s">
        <v>269</v>
      </c>
      <c r="C233" s="27">
        <v>1782</v>
      </c>
      <c r="D233" s="219">
        <v>64</v>
      </c>
      <c r="E233" s="29">
        <v>17</v>
      </c>
      <c r="F233" s="27">
        <v>0</v>
      </c>
      <c r="G233" s="27">
        <v>0</v>
      </c>
    </row>
    <row r="234" spans="1:7" ht="12.75">
      <c r="A234" s="27">
        <v>913</v>
      </c>
      <c r="B234" s="28" t="s">
        <v>270</v>
      </c>
      <c r="C234" s="27">
        <v>1700</v>
      </c>
      <c r="D234" s="219">
        <v>75</v>
      </c>
      <c r="E234" s="29">
        <v>0</v>
      </c>
      <c r="F234" s="27">
        <v>0</v>
      </c>
      <c r="G234" s="27">
        <v>0</v>
      </c>
    </row>
    <row r="235" spans="1:7" ht="12.75">
      <c r="A235" s="27">
        <v>914</v>
      </c>
      <c r="B235" s="28" t="s">
        <v>271</v>
      </c>
      <c r="C235" s="27">
        <v>1600</v>
      </c>
      <c r="D235" s="219">
        <v>88</v>
      </c>
      <c r="E235" s="29">
        <v>0</v>
      </c>
      <c r="F235" s="27">
        <v>0</v>
      </c>
      <c r="G235" s="27">
        <v>0</v>
      </c>
    </row>
    <row r="236" spans="1:7" ht="12.75">
      <c r="A236" s="27">
        <v>915</v>
      </c>
      <c r="B236" s="28" t="s">
        <v>272</v>
      </c>
      <c r="C236" s="27">
        <v>1700</v>
      </c>
      <c r="D236" s="219">
        <v>75</v>
      </c>
      <c r="E236" s="29">
        <v>150</v>
      </c>
      <c r="F236" s="27">
        <v>0</v>
      </c>
      <c r="G236" s="27">
        <v>0</v>
      </c>
    </row>
    <row r="237" spans="1:7" ht="12.75">
      <c r="A237" s="27">
        <v>916</v>
      </c>
      <c r="B237" s="28" t="s">
        <v>273</v>
      </c>
      <c r="C237" s="27">
        <v>1300</v>
      </c>
      <c r="D237" s="219">
        <v>127</v>
      </c>
      <c r="E237" s="29">
        <v>0</v>
      </c>
      <c r="F237" s="27">
        <v>0</v>
      </c>
      <c r="G237" s="27">
        <v>0</v>
      </c>
    </row>
    <row r="238" spans="1:7" ht="12.75">
      <c r="A238" s="27">
        <v>917</v>
      </c>
      <c r="B238" s="28" t="s">
        <v>274</v>
      </c>
      <c r="C238" s="27">
        <v>971</v>
      </c>
      <c r="D238" s="219">
        <v>170</v>
      </c>
      <c r="E238" s="29">
        <v>0</v>
      </c>
      <c r="F238" s="27">
        <v>0</v>
      </c>
      <c r="G238" s="27">
        <v>0</v>
      </c>
    </row>
    <row r="239" spans="1:7" ht="12.75">
      <c r="A239" s="27">
        <v>918</v>
      </c>
      <c r="B239" s="28" t="s">
        <v>170</v>
      </c>
      <c r="C239" s="27">
        <v>971</v>
      </c>
      <c r="D239" s="219">
        <v>170</v>
      </c>
      <c r="E239" s="29">
        <v>150</v>
      </c>
      <c r="F239" s="27">
        <v>0</v>
      </c>
      <c r="G239" s="27">
        <v>0</v>
      </c>
    </row>
    <row r="240" spans="1:7" ht="12.75">
      <c r="A240" s="27">
        <v>919</v>
      </c>
      <c r="B240" s="28" t="s">
        <v>275</v>
      </c>
      <c r="C240" s="27">
        <v>971</v>
      </c>
      <c r="D240" s="219">
        <v>170</v>
      </c>
      <c r="E240" s="29">
        <v>17</v>
      </c>
      <c r="F240" s="27">
        <v>0</v>
      </c>
      <c r="G240" s="27">
        <v>0</v>
      </c>
    </row>
    <row r="241" spans="1:7" ht="12.75">
      <c r="A241" s="27">
        <v>920</v>
      </c>
      <c r="B241" s="28" t="s">
        <v>276</v>
      </c>
      <c r="C241" s="27">
        <v>971</v>
      </c>
      <c r="D241" s="219">
        <v>170</v>
      </c>
      <c r="E241" s="29">
        <v>150</v>
      </c>
      <c r="F241" s="27">
        <v>0</v>
      </c>
      <c r="G241" s="27">
        <v>0</v>
      </c>
    </row>
    <row r="242" spans="1:7" ht="12.75">
      <c r="A242" s="27">
        <v>921</v>
      </c>
      <c r="B242" s="28" t="s">
        <v>277</v>
      </c>
      <c r="C242" s="27">
        <v>971</v>
      </c>
      <c r="D242" s="219">
        <v>170</v>
      </c>
      <c r="E242" s="29">
        <v>0</v>
      </c>
      <c r="F242" s="27">
        <v>0</v>
      </c>
      <c r="G242" s="27">
        <v>0</v>
      </c>
    </row>
    <row r="243" spans="1:7" ht="12.75">
      <c r="A243" s="27">
        <v>922</v>
      </c>
      <c r="B243" s="28" t="s">
        <v>278</v>
      </c>
      <c r="C243" s="27">
        <v>971</v>
      </c>
      <c r="D243" s="219">
        <v>170</v>
      </c>
      <c r="E243" s="29">
        <v>0</v>
      </c>
      <c r="F243" s="27">
        <v>0</v>
      </c>
      <c r="G243" s="27">
        <v>0</v>
      </c>
    </row>
    <row r="244" spans="1:7" ht="12.75">
      <c r="A244" s="27">
        <v>923</v>
      </c>
      <c r="B244" s="28" t="s">
        <v>279</v>
      </c>
      <c r="C244" s="27">
        <v>971</v>
      </c>
      <c r="D244" s="219">
        <v>170</v>
      </c>
      <c r="E244" s="29">
        <v>0</v>
      </c>
      <c r="F244" s="27">
        <v>0</v>
      </c>
      <c r="G244" s="27">
        <v>0</v>
      </c>
    </row>
    <row r="245" spans="1:7" ht="12.75">
      <c r="A245" s="27">
        <v>924</v>
      </c>
      <c r="B245" s="28" t="s">
        <v>280</v>
      </c>
      <c r="C245" s="27">
        <v>971</v>
      </c>
      <c r="D245" s="219">
        <v>170</v>
      </c>
      <c r="E245" s="29">
        <v>150</v>
      </c>
      <c r="F245" s="27">
        <v>0</v>
      </c>
      <c r="G245" s="27">
        <v>0</v>
      </c>
    </row>
    <row r="246" spans="1:7" ht="12.75">
      <c r="A246" s="27">
        <v>925</v>
      </c>
      <c r="B246" s="28" t="s">
        <v>72</v>
      </c>
      <c r="C246" s="27">
        <v>971</v>
      </c>
      <c r="D246" s="219">
        <v>170</v>
      </c>
      <c r="E246" s="29">
        <v>0</v>
      </c>
      <c r="F246" s="27">
        <v>0</v>
      </c>
      <c r="G246" s="27">
        <v>0</v>
      </c>
    </row>
    <row r="247" spans="1:7" ht="12.75">
      <c r="A247" s="27">
        <v>926</v>
      </c>
      <c r="B247" s="28" t="s">
        <v>194</v>
      </c>
      <c r="C247" s="27">
        <v>1500</v>
      </c>
      <c r="D247" s="219">
        <v>101</v>
      </c>
      <c r="E247" s="29">
        <v>150</v>
      </c>
      <c r="F247" s="27">
        <v>0</v>
      </c>
      <c r="G247" s="27">
        <v>0</v>
      </c>
    </row>
    <row r="248" spans="1:7" ht="12.75">
      <c r="A248" s="27">
        <v>928</v>
      </c>
      <c r="B248" s="28" t="s">
        <v>165</v>
      </c>
      <c r="C248" s="27">
        <v>1500</v>
      </c>
      <c r="D248" s="219">
        <v>101</v>
      </c>
      <c r="E248" s="29">
        <v>150</v>
      </c>
      <c r="F248" s="27">
        <v>0</v>
      </c>
      <c r="G248" s="27">
        <v>0</v>
      </c>
    </row>
    <row r="249" spans="1:7" ht="12.75">
      <c r="A249" s="27">
        <v>929</v>
      </c>
      <c r="B249" s="28" t="s">
        <v>281</v>
      </c>
      <c r="C249" s="27">
        <v>971</v>
      </c>
      <c r="D249" s="219">
        <v>170</v>
      </c>
      <c r="E249" s="29">
        <v>150</v>
      </c>
      <c r="F249" s="27">
        <v>0</v>
      </c>
      <c r="G249" s="27">
        <v>0</v>
      </c>
    </row>
    <row r="250" spans="1:7" ht="12.75">
      <c r="A250" s="27">
        <v>930</v>
      </c>
      <c r="B250" s="28" t="s">
        <v>282</v>
      </c>
      <c r="C250" s="27">
        <v>1592</v>
      </c>
      <c r="D250" s="219">
        <v>89</v>
      </c>
      <c r="E250" s="29">
        <v>0</v>
      </c>
      <c r="F250" s="27">
        <v>0</v>
      </c>
      <c r="G250" s="27">
        <v>0</v>
      </c>
    </row>
    <row r="251" spans="1:7" ht="12.75">
      <c r="A251" s="27">
        <v>931</v>
      </c>
      <c r="B251" s="28" t="s">
        <v>283</v>
      </c>
      <c r="C251" s="27">
        <v>971</v>
      </c>
      <c r="D251" s="219">
        <v>170</v>
      </c>
      <c r="E251" s="29">
        <v>0</v>
      </c>
      <c r="F251" s="27">
        <v>0</v>
      </c>
      <c r="G251" s="27">
        <v>0</v>
      </c>
    </row>
    <row r="252" spans="1:7" ht="12.75">
      <c r="A252" s="27">
        <v>932</v>
      </c>
      <c r="B252" s="28" t="s">
        <v>284</v>
      </c>
      <c r="C252" s="27">
        <v>2220</v>
      </c>
      <c r="D252" s="219">
        <v>7</v>
      </c>
      <c r="E252" s="29">
        <v>0</v>
      </c>
      <c r="F252" s="27">
        <v>0</v>
      </c>
      <c r="G252" s="27">
        <v>0</v>
      </c>
    </row>
    <row r="253" spans="1:7" ht="12.75">
      <c r="A253" s="37">
        <v>933</v>
      </c>
      <c r="B253" s="38" t="s">
        <v>285</v>
      </c>
      <c r="C253" s="37">
        <v>1580</v>
      </c>
      <c r="D253" s="219">
        <v>90</v>
      </c>
      <c r="E253" s="39">
        <v>0</v>
      </c>
      <c r="F253" s="37">
        <v>0</v>
      </c>
      <c r="G253" s="37">
        <v>0</v>
      </c>
    </row>
    <row r="254" spans="1:7" ht="12.75">
      <c r="A254" s="27">
        <v>934</v>
      </c>
      <c r="B254" s="28" t="s">
        <v>286</v>
      </c>
      <c r="C254" s="27">
        <v>922</v>
      </c>
      <c r="D254" s="219">
        <v>176</v>
      </c>
      <c r="E254" s="29">
        <v>0</v>
      </c>
      <c r="F254" s="27">
        <v>0</v>
      </c>
      <c r="G254" s="27">
        <v>0</v>
      </c>
    </row>
    <row r="255" spans="1:7" ht="12.75">
      <c r="A255" s="27">
        <v>935</v>
      </c>
      <c r="B255" s="28" t="s">
        <v>287</v>
      </c>
      <c r="C255" s="27">
        <v>971</v>
      </c>
      <c r="D255" s="219">
        <v>170</v>
      </c>
      <c r="E255" s="29">
        <v>0</v>
      </c>
      <c r="F255" s="27">
        <v>0</v>
      </c>
      <c r="G255" s="27">
        <v>0</v>
      </c>
    </row>
    <row r="256" spans="1:7" ht="12.75">
      <c r="A256" s="27">
        <v>936</v>
      </c>
      <c r="B256" s="28" t="s">
        <v>288</v>
      </c>
      <c r="C256" s="27">
        <v>1250</v>
      </c>
      <c r="D256" s="219">
        <v>134</v>
      </c>
      <c r="E256" s="29">
        <v>0</v>
      </c>
      <c r="F256" s="27">
        <v>0</v>
      </c>
      <c r="G256" s="27">
        <v>0</v>
      </c>
    </row>
    <row r="257" spans="1:7" ht="12.75">
      <c r="A257" s="34">
        <v>937</v>
      </c>
      <c r="B257" s="35" t="s">
        <v>289</v>
      </c>
      <c r="C257" s="34">
        <v>971</v>
      </c>
      <c r="D257" s="219">
        <v>170</v>
      </c>
      <c r="E257" s="36">
        <v>0</v>
      </c>
      <c r="F257" s="34">
        <v>0</v>
      </c>
      <c r="G257" s="34">
        <v>0</v>
      </c>
    </row>
    <row r="258" spans="1:7" ht="12.75">
      <c r="A258" s="27">
        <v>940</v>
      </c>
      <c r="B258" s="28" t="s">
        <v>290</v>
      </c>
      <c r="C258" s="27">
        <v>1692</v>
      </c>
      <c r="D258" s="219">
        <v>76</v>
      </c>
      <c r="E258" s="29">
        <v>0</v>
      </c>
      <c r="F258" s="27">
        <v>0</v>
      </c>
      <c r="G258" s="27">
        <v>0</v>
      </c>
    </row>
    <row r="259" spans="1:7" ht="12.75">
      <c r="A259" s="27">
        <v>941</v>
      </c>
      <c r="B259" s="28" t="s">
        <v>291</v>
      </c>
      <c r="C259" s="27">
        <v>1942</v>
      </c>
      <c r="D259" s="219">
        <v>43</v>
      </c>
      <c r="E259" s="29">
        <v>0</v>
      </c>
      <c r="F259" s="27">
        <v>0</v>
      </c>
      <c r="G259" s="27">
        <v>0</v>
      </c>
    </row>
    <row r="260" spans="1:7" ht="12.75">
      <c r="A260" s="27">
        <v>942</v>
      </c>
      <c r="B260" s="28" t="s">
        <v>292</v>
      </c>
      <c r="C260" s="27">
        <v>1782</v>
      </c>
      <c r="D260" s="219">
        <v>64</v>
      </c>
      <c r="E260" s="29">
        <v>0</v>
      </c>
      <c r="F260" s="27">
        <v>0</v>
      </c>
      <c r="G260" s="27">
        <v>0</v>
      </c>
    </row>
    <row r="261" spans="1:7" ht="12.75">
      <c r="A261" s="27">
        <v>943</v>
      </c>
      <c r="B261" s="28" t="s">
        <v>193</v>
      </c>
      <c r="C261" s="27">
        <v>1500</v>
      </c>
      <c r="D261" s="219">
        <v>101</v>
      </c>
      <c r="E261" s="29">
        <v>150</v>
      </c>
      <c r="F261" s="27">
        <v>0</v>
      </c>
      <c r="G261" s="27">
        <v>0</v>
      </c>
    </row>
    <row r="262" spans="1:7" ht="12.75">
      <c r="A262" s="27">
        <v>944</v>
      </c>
      <c r="B262" s="28" t="s">
        <v>293</v>
      </c>
      <c r="C262" s="27">
        <v>1400</v>
      </c>
      <c r="D262" s="219">
        <v>114</v>
      </c>
      <c r="E262" s="29">
        <v>0</v>
      </c>
      <c r="F262" s="27">
        <v>0</v>
      </c>
      <c r="G262" s="27">
        <v>0</v>
      </c>
    </row>
    <row r="263" spans="1:7" ht="12.75">
      <c r="A263" s="27">
        <v>945</v>
      </c>
      <c r="B263" s="28" t="s">
        <v>294</v>
      </c>
      <c r="C263" s="27">
        <v>1782</v>
      </c>
      <c r="D263" s="219">
        <v>64</v>
      </c>
      <c r="E263" s="29">
        <v>0</v>
      </c>
      <c r="F263" s="27">
        <v>0</v>
      </c>
      <c r="G263" s="27">
        <v>669</v>
      </c>
    </row>
    <row r="264" spans="1:7" ht="12.75">
      <c r="A264" s="27">
        <v>946</v>
      </c>
      <c r="B264" s="28" t="s">
        <v>228</v>
      </c>
      <c r="C264" s="27">
        <v>971</v>
      </c>
      <c r="D264" s="219">
        <v>170</v>
      </c>
      <c r="E264" s="29">
        <v>0</v>
      </c>
      <c r="F264" s="27">
        <v>0</v>
      </c>
      <c r="G264" s="27">
        <v>620</v>
      </c>
    </row>
    <row r="265" spans="1:7" ht="12.75">
      <c r="A265" s="27">
        <v>947</v>
      </c>
      <c r="B265" s="28" t="s">
        <v>295</v>
      </c>
      <c r="C265" s="27">
        <v>971</v>
      </c>
      <c r="D265" s="219">
        <v>170</v>
      </c>
      <c r="E265" s="29">
        <v>0</v>
      </c>
      <c r="F265" s="27">
        <v>0</v>
      </c>
      <c r="G265" s="27">
        <v>155</v>
      </c>
    </row>
    <row r="266" spans="1:7" ht="12.75">
      <c r="A266" s="27">
        <v>951</v>
      </c>
      <c r="B266" s="28" t="s">
        <v>180</v>
      </c>
      <c r="C266" s="27">
        <v>1500</v>
      </c>
      <c r="D266" s="219">
        <v>101</v>
      </c>
      <c r="E266" s="29">
        <v>150</v>
      </c>
      <c r="F266" s="27">
        <v>0</v>
      </c>
      <c r="G266" s="27">
        <v>0</v>
      </c>
    </row>
    <row r="267" spans="1:7" ht="12.75">
      <c r="A267" s="27">
        <v>952</v>
      </c>
      <c r="B267" s="28" t="s">
        <v>296</v>
      </c>
      <c r="C267" s="27">
        <v>971</v>
      </c>
      <c r="D267" s="219">
        <v>170</v>
      </c>
      <c r="E267" s="29">
        <v>0</v>
      </c>
      <c r="F267" s="27">
        <v>0</v>
      </c>
      <c r="G267" s="27">
        <v>155</v>
      </c>
    </row>
    <row r="268" spans="1:7" ht="12.75">
      <c r="A268" s="27">
        <v>953</v>
      </c>
      <c r="B268" s="28" t="s">
        <v>297</v>
      </c>
      <c r="C268" s="27">
        <v>971</v>
      </c>
      <c r="D268" s="219">
        <v>170</v>
      </c>
      <c r="E268" s="29">
        <v>0</v>
      </c>
      <c r="F268" s="27">
        <v>0</v>
      </c>
      <c r="G268" s="27">
        <v>155</v>
      </c>
    </row>
    <row r="269" spans="1:7" ht="12.75">
      <c r="A269" s="27">
        <v>954</v>
      </c>
      <c r="B269" s="28" t="s">
        <v>298</v>
      </c>
      <c r="C269" s="27">
        <v>1600</v>
      </c>
      <c r="D269" s="219">
        <v>88</v>
      </c>
      <c r="E269" s="29">
        <v>0</v>
      </c>
      <c r="F269" s="27">
        <v>0</v>
      </c>
      <c r="G269" s="27">
        <v>657</v>
      </c>
    </row>
    <row r="270" spans="1:7" ht="12.75">
      <c r="A270" s="27">
        <v>955</v>
      </c>
      <c r="B270" s="28" t="s">
        <v>214</v>
      </c>
      <c r="C270" s="27">
        <v>971</v>
      </c>
      <c r="D270" s="219">
        <v>170</v>
      </c>
      <c r="E270" s="29">
        <v>0</v>
      </c>
      <c r="F270" s="27">
        <v>0</v>
      </c>
      <c r="G270" s="27">
        <v>0</v>
      </c>
    </row>
    <row r="271" spans="1:7" ht="12.75">
      <c r="A271" s="27">
        <v>956</v>
      </c>
      <c r="B271" s="28" t="s">
        <v>299</v>
      </c>
      <c r="C271" s="27">
        <v>1692</v>
      </c>
      <c r="D271" s="219">
        <v>76</v>
      </c>
      <c r="E271" s="29">
        <v>0</v>
      </c>
      <c r="F271" s="27">
        <v>0</v>
      </c>
      <c r="G271" s="27">
        <v>663</v>
      </c>
    </row>
    <row r="272" spans="1:7" ht="12.75">
      <c r="A272" s="27">
        <v>957</v>
      </c>
      <c r="B272" s="28" t="s">
        <v>300</v>
      </c>
      <c r="C272" s="27">
        <v>1700</v>
      </c>
      <c r="D272" s="219">
        <v>75</v>
      </c>
      <c r="E272" s="29">
        <v>0</v>
      </c>
      <c r="F272" s="27">
        <v>0</v>
      </c>
      <c r="G272" s="27">
        <v>0</v>
      </c>
    </row>
    <row r="273" spans="1:7" ht="12.75">
      <c r="A273" s="27">
        <v>958</v>
      </c>
      <c r="B273" s="28" t="s">
        <v>301</v>
      </c>
      <c r="C273" s="27">
        <v>2913</v>
      </c>
      <c r="D273" s="219">
        <v>0</v>
      </c>
      <c r="E273" s="29">
        <v>0</v>
      </c>
      <c r="F273" s="27">
        <v>0</v>
      </c>
      <c r="G273" s="27">
        <v>0</v>
      </c>
    </row>
    <row r="274" spans="1:7" ht="12.75">
      <c r="A274" s="27">
        <v>959</v>
      </c>
      <c r="B274" s="28" t="s">
        <v>302</v>
      </c>
      <c r="C274" s="27">
        <v>2220</v>
      </c>
      <c r="D274" s="219">
        <v>7</v>
      </c>
      <c r="E274" s="29">
        <v>0</v>
      </c>
      <c r="F274" s="27">
        <v>0</v>
      </c>
      <c r="G274" s="27">
        <v>0</v>
      </c>
    </row>
    <row r="275" spans="1:7" ht="12.75">
      <c r="A275" s="27">
        <v>960</v>
      </c>
      <c r="B275" s="28" t="s">
        <v>303</v>
      </c>
      <c r="C275" s="27">
        <v>1750</v>
      </c>
      <c r="D275" s="219">
        <v>68</v>
      </c>
      <c r="E275" s="29">
        <v>0</v>
      </c>
      <c r="F275" s="27">
        <v>0</v>
      </c>
      <c r="G275" s="27">
        <v>0</v>
      </c>
    </row>
    <row r="276" spans="1:7" ht="12.75">
      <c r="A276" s="27">
        <v>961</v>
      </c>
      <c r="B276" s="28" t="s">
        <v>304</v>
      </c>
      <c r="C276" s="27">
        <v>1580</v>
      </c>
      <c r="D276" s="219">
        <v>90</v>
      </c>
      <c r="E276" s="29">
        <v>0</v>
      </c>
      <c r="F276" s="27">
        <v>0</v>
      </c>
      <c r="G276" s="27">
        <v>0</v>
      </c>
    </row>
    <row r="277" spans="1:7" ht="12.75">
      <c r="A277" s="27">
        <v>962</v>
      </c>
      <c r="B277" s="28" t="s">
        <v>305</v>
      </c>
      <c r="C277" s="27">
        <v>1580</v>
      </c>
      <c r="D277" s="219">
        <v>90</v>
      </c>
      <c r="E277" s="29">
        <v>0</v>
      </c>
      <c r="F277" s="27">
        <v>0</v>
      </c>
      <c r="G277" s="27">
        <v>0</v>
      </c>
    </row>
    <row r="278" spans="1:7" ht="12.75">
      <c r="A278" s="27">
        <v>963</v>
      </c>
      <c r="B278" s="28" t="s">
        <v>306</v>
      </c>
      <c r="C278" s="27">
        <v>951</v>
      </c>
      <c r="D278" s="219">
        <v>173</v>
      </c>
      <c r="E278" s="29">
        <v>0</v>
      </c>
      <c r="F278" s="27">
        <v>0</v>
      </c>
      <c r="G278" s="27">
        <v>0</v>
      </c>
    </row>
    <row r="279" spans="1:7" ht="12.75">
      <c r="A279" s="27">
        <v>965</v>
      </c>
      <c r="B279" s="28" t="s">
        <v>307</v>
      </c>
      <c r="C279" s="27">
        <v>2913</v>
      </c>
      <c r="D279" s="219">
        <v>0</v>
      </c>
      <c r="E279" s="29">
        <v>0</v>
      </c>
      <c r="F279" s="27">
        <v>0</v>
      </c>
      <c r="G279" s="27">
        <v>0</v>
      </c>
    </row>
    <row r="280" spans="1:7" ht="12.75">
      <c r="A280" s="27">
        <v>966</v>
      </c>
      <c r="B280" s="28" t="s">
        <v>308</v>
      </c>
      <c r="C280" s="27">
        <v>1850</v>
      </c>
      <c r="D280" s="219">
        <v>55</v>
      </c>
      <c r="E280" s="29">
        <v>0</v>
      </c>
      <c r="F280" s="27">
        <v>0</v>
      </c>
      <c r="G280" s="27">
        <v>0</v>
      </c>
    </row>
    <row r="281" spans="1:7" ht="12.75">
      <c r="A281" s="27">
        <v>967</v>
      </c>
      <c r="B281" s="28" t="s">
        <v>309</v>
      </c>
      <c r="C281" s="27">
        <v>1564</v>
      </c>
      <c r="D281" s="219">
        <v>93</v>
      </c>
      <c r="E281" s="29">
        <v>0</v>
      </c>
      <c r="F281" s="27">
        <v>0</v>
      </c>
      <c r="G281" s="27">
        <v>0</v>
      </c>
    </row>
    <row r="282" spans="1:7" ht="12.75">
      <c r="A282" s="27">
        <v>968</v>
      </c>
      <c r="B282" s="28" t="s">
        <v>255</v>
      </c>
      <c r="C282" s="27">
        <v>1500</v>
      </c>
      <c r="D282" s="219">
        <v>101</v>
      </c>
      <c r="E282" s="29">
        <v>0</v>
      </c>
      <c r="F282" s="27">
        <v>0</v>
      </c>
      <c r="G282" s="27">
        <v>0</v>
      </c>
    </row>
    <row r="283" spans="1:7" ht="12.75">
      <c r="A283" s="27">
        <v>969</v>
      </c>
      <c r="B283" s="28" t="s">
        <v>310</v>
      </c>
      <c r="C283" s="27">
        <v>971</v>
      </c>
      <c r="D283" s="219">
        <v>170</v>
      </c>
      <c r="E283" s="29">
        <v>150</v>
      </c>
      <c r="F283" s="27">
        <v>0</v>
      </c>
      <c r="G283" s="27">
        <v>0</v>
      </c>
    </row>
    <row r="284" spans="1:7" ht="12.75">
      <c r="A284" s="27">
        <v>970</v>
      </c>
      <c r="B284" s="28" t="s">
        <v>311</v>
      </c>
      <c r="C284" s="27">
        <v>1480</v>
      </c>
      <c r="D284" s="219">
        <v>104</v>
      </c>
      <c r="E284" s="29">
        <v>0</v>
      </c>
      <c r="F284" s="27">
        <v>0</v>
      </c>
      <c r="G284" s="27">
        <v>0</v>
      </c>
    </row>
    <row r="285" spans="1:7" ht="12.75">
      <c r="A285" s="27">
        <v>971</v>
      </c>
      <c r="B285" s="28" t="s">
        <v>312</v>
      </c>
      <c r="C285" s="27">
        <v>1400</v>
      </c>
      <c r="D285" s="219">
        <v>114</v>
      </c>
      <c r="E285" s="29">
        <v>150</v>
      </c>
      <c r="F285" s="27">
        <v>0</v>
      </c>
      <c r="G285" s="27">
        <v>0</v>
      </c>
    </row>
    <row r="286" spans="1:7" ht="12.75">
      <c r="A286" s="27">
        <v>972</v>
      </c>
      <c r="B286" s="28" t="s">
        <v>313</v>
      </c>
      <c r="C286" s="27">
        <v>1692</v>
      </c>
      <c r="D286" s="219">
        <v>76</v>
      </c>
      <c r="E286" s="29">
        <v>17</v>
      </c>
      <c r="F286" s="27">
        <v>0</v>
      </c>
      <c r="G286" s="27">
        <v>0</v>
      </c>
    </row>
    <row r="287" spans="1:7" ht="12.75">
      <c r="A287" s="27">
        <v>973</v>
      </c>
      <c r="B287" s="28" t="s">
        <v>314</v>
      </c>
      <c r="C287" s="27">
        <v>1592</v>
      </c>
      <c r="D287" s="219">
        <v>89</v>
      </c>
      <c r="E287" s="29">
        <v>17</v>
      </c>
      <c r="F287" s="27">
        <v>0</v>
      </c>
      <c r="G287" s="27">
        <v>0</v>
      </c>
    </row>
    <row r="288" spans="1:7" ht="12.75">
      <c r="A288" s="27">
        <v>974</v>
      </c>
      <c r="B288" s="28" t="s">
        <v>315</v>
      </c>
      <c r="C288" s="27">
        <v>1500</v>
      </c>
      <c r="D288" s="219">
        <v>101</v>
      </c>
      <c r="E288" s="29">
        <v>150</v>
      </c>
      <c r="F288" s="27">
        <v>0</v>
      </c>
      <c r="G288" s="27">
        <v>0</v>
      </c>
    </row>
    <row r="289" spans="1:7" ht="12.75">
      <c r="A289" s="27">
        <v>975</v>
      </c>
      <c r="B289" s="28" t="s">
        <v>316</v>
      </c>
      <c r="C289" s="27">
        <v>971</v>
      </c>
      <c r="D289" s="219">
        <v>170</v>
      </c>
      <c r="E289" s="29">
        <v>0</v>
      </c>
      <c r="F289" s="27">
        <v>0</v>
      </c>
      <c r="G289" s="27">
        <v>0</v>
      </c>
    </row>
    <row r="290" spans="1:7" ht="12.75">
      <c r="A290" s="27">
        <v>976</v>
      </c>
      <c r="B290" s="28" t="s">
        <v>317</v>
      </c>
      <c r="C290" s="27">
        <v>971</v>
      </c>
      <c r="D290" s="219">
        <v>170</v>
      </c>
      <c r="E290" s="29">
        <v>0</v>
      </c>
      <c r="F290" s="27">
        <v>0</v>
      </c>
      <c r="G290" s="27">
        <v>0</v>
      </c>
    </row>
    <row r="291" spans="1:7" ht="12.75">
      <c r="A291" s="27">
        <v>977</v>
      </c>
      <c r="B291" s="28" t="s">
        <v>318</v>
      </c>
      <c r="C291" s="27">
        <v>971</v>
      </c>
      <c r="D291" s="219">
        <v>170</v>
      </c>
      <c r="E291" s="29">
        <v>0</v>
      </c>
      <c r="F291" s="27">
        <v>0</v>
      </c>
      <c r="G291" s="27">
        <v>0</v>
      </c>
    </row>
    <row r="292" spans="1:7" ht="12.75">
      <c r="A292" s="27">
        <v>978</v>
      </c>
      <c r="B292" s="28" t="s">
        <v>319</v>
      </c>
      <c r="C292" s="27">
        <v>1840</v>
      </c>
      <c r="D292" s="219">
        <v>57</v>
      </c>
      <c r="E292" s="29">
        <v>0</v>
      </c>
      <c r="F292" s="27">
        <v>0</v>
      </c>
      <c r="G292" s="27">
        <v>0</v>
      </c>
    </row>
    <row r="293" spans="1:7" ht="12.75">
      <c r="A293" s="27">
        <v>979</v>
      </c>
      <c r="B293" s="28" t="s">
        <v>320</v>
      </c>
      <c r="C293" s="27">
        <v>1740</v>
      </c>
      <c r="D293" s="219">
        <v>70</v>
      </c>
      <c r="E293" s="29">
        <v>0</v>
      </c>
      <c r="F293" s="27">
        <v>0</v>
      </c>
      <c r="G293" s="27">
        <v>0</v>
      </c>
    </row>
    <row r="294" spans="1:7" ht="12.75">
      <c r="A294" s="27">
        <v>980</v>
      </c>
      <c r="B294" s="28" t="s">
        <v>321</v>
      </c>
      <c r="C294" s="27">
        <v>574</v>
      </c>
      <c r="D294" s="219">
        <v>222</v>
      </c>
      <c r="E294" s="29">
        <v>0</v>
      </c>
      <c r="F294" s="27">
        <v>0</v>
      </c>
      <c r="G294" s="27">
        <v>0</v>
      </c>
    </row>
    <row r="295" spans="1:7" ht="12.75">
      <c r="A295" s="27">
        <v>981</v>
      </c>
      <c r="B295" s="28" t="s">
        <v>322</v>
      </c>
      <c r="C295" s="27">
        <v>1782</v>
      </c>
      <c r="D295" s="219">
        <v>64</v>
      </c>
      <c r="E295" s="29">
        <v>0</v>
      </c>
      <c r="F295" s="27">
        <v>0</v>
      </c>
      <c r="G295" s="27">
        <v>0</v>
      </c>
    </row>
    <row r="296" spans="1:7" ht="12.75">
      <c r="A296" s="27">
        <v>982</v>
      </c>
      <c r="B296" s="28" t="s">
        <v>323</v>
      </c>
      <c r="C296" s="27">
        <v>1740</v>
      </c>
      <c r="D296" s="219">
        <v>70</v>
      </c>
      <c r="E296" s="29">
        <v>0</v>
      </c>
      <c r="F296" s="27">
        <v>0</v>
      </c>
      <c r="G296" s="27">
        <v>0</v>
      </c>
    </row>
    <row r="297" spans="1:7" ht="12.75">
      <c r="A297" s="27">
        <v>983</v>
      </c>
      <c r="B297" s="28" t="s">
        <v>324</v>
      </c>
      <c r="C297" s="27">
        <v>1170</v>
      </c>
      <c r="D297" s="219">
        <v>144</v>
      </c>
      <c r="E297" s="29">
        <v>0</v>
      </c>
      <c r="F297" s="27">
        <v>0</v>
      </c>
      <c r="G297" s="27">
        <v>0</v>
      </c>
    </row>
    <row r="298" spans="1:7" ht="12.75">
      <c r="A298" s="27">
        <v>984</v>
      </c>
      <c r="B298" s="28" t="s">
        <v>325</v>
      </c>
      <c r="C298" s="27">
        <v>690</v>
      </c>
      <c r="D298" s="219">
        <v>207</v>
      </c>
      <c r="E298" s="29">
        <v>0</v>
      </c>
      <c r="F298" s="27">
        <v>0</v>
      </c>
      <c r="G298" s="27">
        <v>0</v>
      </c>
    </row>
    <row r="299" spans="1:7" ht="12.75">
      <c r="A299" s="27">
        <v>985</v>
      </c>
      <c r="B299" s="28" t="s">
        <v>326</v>
      </c>
      <c r="C299" s="27">
        <v>2913</v>
      </c>
      <c r="D299" s="219">
        <v>0</v>
      </c>
      <c r="E299" s="29">
        <v>0</v>
      </c>
      <c r="F299" s="27">
        <v>0</v>
      </c>
      <c r="G299" s="27">
        <v>0</v>
      </c>
    </row>
    <row r="300" spans="1:7" ht="12.75">
      <c r="A300" s="27">
        <v>986</v>
      </c>
      <c r="B300" s="28" t="s">
        <v>327</v>
      </c>
      <c r="C300" s="27">
        <v>644</v>
      </c>
      <c r="D300" s="219">
        <v>213</v>
      </c>
      <c r="E300" s="29">
        <v>0</v>
      </c>
      <c r="F300" s="27">
        <v>0</v>
      </c>
      <c r="G300" s="27">
        <v>0</v>
      </c>
    </row>
    <row r="301" spans="1:7" ht="12.75">
      <c r="A301" s="27">
        <v>987</v>
      </c>
      <c r="B301" s="28" t="s">
        <v>169</v>
      </c>
      <c r="C301" s="27">
        <v>1170</v>
      </c>
      <c r="D301" s="219">
        <v>144</v>
      </c>
      <c r="E301" s="29">
        <v>0</v>
      </c>
      <c r="F301" s="27">
        <v>0</v>
      </c>
      <c r="G301" s="27">
        <v>0</v>
      </c>
    </row>
    <row r="302" spans="1:7" ht="12.75">
      <c r="A302" s="27">
        <v>988</v>
      </c>
      <c r="B302" s="28" t="s">
        <v>328</v>
      </c>
      <c r="C302" s="27">
        <v>2600</v>
      </c>
      <c r="D302" s="219">
        <v>0</v>
      </c>
      <c r="E302" s="29">
        <v>0</v>
      </c>
      <c r="F302" s="27">
        <v>0</v>
      </c>
      <c r="G302" s="27">
        <v>0</v>
      </c>
    </row>
    <row r="303" spans="1:7" ht="12.75">
      <c r="A303" s="27">
        <v>989</v>
      </c>
      <c r="B303" s="28" t="s">
        <v>329</v>
      </c>
      <c r="C303" s="27">
        <v>2840</v>
      </c>
      <c r="D303" s="219">
        <v>0</v>
      </c>
      <c r="E303" s="29">
        <v>0</v>
      </c>
      <c r="F303" s="27">
        <v>0</v>
      </c>
      <c r="G303" s="27">
        <v>0</v>
      </c>
    </row>
    <row r="304" spans="1:7" ht="12.75">
      <c r="A304" s="27">
        <v>990</v>
      </c>
      <c r="B304" s="28" t="s">
        <v>330</v>
      </c>
      <c r="C304" s="27">
        <v>2100</v>
      </c>
      <c r="D304" s="219">
        <v>23</v>
      </c>
      <c r="E304" s="29">
        <v>0</v>
      </c>
      <c r="F304" s="27">
        <v>0</v>
      </c>
      <c r="G304" s="27">
        <v>0</v>
      </c>
    </row>
    <row r="305" spans="1:7" ht="12.75">
      <c r="A305" s="27">
        <v>991</v>
      </c>
      <c r="B305" s="28" t="s">
        <v>331</v>
      </c>
      <c r="C305" s="27">
        <v>1850</v>
      </c>
      <c r="D305" s="219">
        <v>55</v>
      </c>
      <c r="E305" s="29">
        <v>0</v>
      </c>
      <c r="F305" s="27">
        <v>0</v>
      </c>
      <c r="G305" s="27">
        <v>0</v>
      </c>
    </row>
    <row r="306" spans="1:7" ht="12.75">
      <c r="A306" s="27">
        <v>992</v>
      </c>
      <c r="B306" s="28" t="s">
        <v>332</v>
      </c>
      <c r="C306" s="27">
        <v>2840</v>
      </c>
      <c r="D306" s="219">
        <v>0</v>
      </c>
      <c r="E306" s="29">
        <v>0</v>
      </c>
      <c r="F306" s="27">
        <v>0</v>
      </c>
      <c r="G306" s="27">
        <v>0</v>
      </c>
    </row>
    <row r="307" spans="1:7" ht="12.75">
      <c r="A307" s="27">
        <v>993</v>
      </c>
      <c r="B307" s="28" t="s">
        <v>333</v>
      </c>
      <c r="C307" s="27">
        <v>2913</v>
      </c>
      <c r="D307" s="219">
        <v>0</v>
      </c>
      <c r="E307" s="29">
        <v>0</v>
      </c>
      <c r="F307" s="27">
        <v>0</v>
      </c>
      <c r="G307" s="27">
        <v>0</v>
      </c>
    </row>
    <row r="308" spans="1:7" ht="12.75">
      <c r="A308" s="27">
        <v>994</v>
      </c>
      <c r="B308" s="28" t="s">
        <v>334</v>
      </c>
      <c r="C308" s="27">
        <v>1580</v>
      </c>
      <c r="D308" s="219">
        <v>90</v>
      </c>
      <c r="E308" s="29">
        <v>0</v>
      </c>
      <c r="F308" s="27">
        <v>0</v>
      </c>
      <c r="G308" s="27">
        <v>0</v>
      </c>
    </row>
    <row r="309" spans="1:7" ht="12.75">
      <c r="A309" s="27">
        <v>995</v>
      </c>
      <c r="B309" s="28" t="s">
        <v>335</v>
      </c>
      <c r="C309" s="27">
        <v>1564</v>
      </c>
      <c r="D309" s="219">
        <v>93</v>
      </c>
      <c r="E309" s="29">
        <v>0</v>
      </c>
      <c r="F309" s="27">
        <v>0</v>
      </c>
      <c r="G309" s="27">
        <v>0</v>
      </c>
    </row>
    <row r="310" spans="1:7" ht="12.75">
      <c r="A310" s="27">
        <v>996</v>
      </c>
      <c r="B310" s="28" t="s">
        <v>72</v>
      </c>
      <c r="C310" s="27">
        <v>1480</v>
      </c>
      <c r="D310" s="219">
        <v>104</v>
      </c>
      <c r="E310" s="29">
        <v>0</v>
      </c>
      <c r="F310" s="27">
        <v>0</v>
      </c>
      <c r="G310" s="27">
        <v>0</v>
      </c>
    </row>
    <row r="311" spans="1:7" ht="12.75">
      <c r="A311" s="27">
        <v>997</v>
      </c>
      <c r="B311" s="28" t="s">
        <v>336</v>
      </c>
      <c r="C311" s="27">
        <v>1564</v>
      </c>
      <c r="D311" s="219">
        <v>93</v>
      </c>
      <c r="E311" s="29">
        <v>0</v>
      </c>
      <c r="F311" s="27">
        <v>0</v>
      </c>
      <c r="G311" s="27">
        <v>0</v>
      </c>
    </row>
    <row r="312" spans="1:7" ht="12.75">
      <c r="A312" s="27">
        <v>998</v>
      </c>
      <c r="B312" s="28" t="s">
        <v>337</v>
      </c>
      <c r="C312" s="27">
        <v>2220</v>
      </c>
      <c r="D312" s="219">
        <v>7</v>
      </c>
      <c r="E312" s="29">
        <v>0</v>
      </c>
      <c r="F312" s="27">
        <v>0</v>
      </c>
      <c r="G312" s="27">
        <v>0</v>
      </c>
    </row>
    <row r="313" spans="1:7" ht="12.75">
      <c r="A313" s="27">
        <v>999</v>
      </c>
      <c r="B313" s="28" t="s">
        <v>338</v>
      </c>
      <c r="C313" s="27">
        <v>3146</v>
      </c>
      <c r="D313" s="219">
        <v>0</v>
      </c>
      <c r="E313" s="29">
        <v>0</v>
      </c>
      <c r="F313" s="27">
        <v>0</v>
      </c>
      <c r="G313" s="27">
        <v>0</v>
      </c>
    </row>
    <row r="314" spans="1:7" ht="13.5" thickBot="1">
      <c r="A314" s="27">
        <v>666</v>
      </c>
      <c r="B314" s="28" t="s">
        <v>339</v>
      </c>
      <c r="C314" s="27" t="s">
        <v>340</v>
      </c>
      <c r="D314" s="219">
        <v>0</v>
      </c>
      <c r="E314" s="40">
        <v>0</v>
      </c>
      <c r="F314" s="41">
        <v>0</v>
      </c>
      <c r="G314" s="41">
        <v>0</v>
      </c>
    </row>
  </sheetData>
  <sheetProtection password="C9B5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Mailen</dc:creator>
  <cp:keywords/>
  <dc:description/>
  <cp:lastModifiedBy>Victor</cp:lastModifiedBy>
  <dcterms:created xsi:type="dcterms:W3CDTF">2006-03-31T13:19:38Z</dcterms:created>
  <dcterms:modified xsi:type="dcterms:W3CDTF">2010-04-08T04:00:04Z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