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55" windowHeight="6600" tabRatio="593" activeTab="0"/>
  </bookViews>
  <sheets>
    <sheet name="Haberes jubilados" sheetId="1" r:id="rId1"/>
    <sheet name="para varios cargos" sheetId="2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jubilados'!$C$117</definedName>
    <definedName name="cargosproljor">'Haberes jubilados'!#REF!</definedName>
    <definedName name="cod022feb07">'Haberes jubilados'!#REF!</definedName>
    <definedName name="cod06ago07">'Haberes jubilados'!#REF!</definedName>
    <definedName name="cod06ago07varios1">'para varios cargos'!#REF!</definedName>
    <definedName name="cod06ago07varios2">'para varios cargos'!#REF!</definedName>
    <definedName name="cod06ago07varios3">'para varios cargos'!#REF!</definedName>
    <definedName name="cod06ago07varios4">'para varios cargos'!#REF!</definedName>
    <definedName name="cod06ago08">'Haberes jubilados'!#REF!</definedName>
    <definedName name="cod06cargo120">'Haberes jubilados'!#REF!</definedName>
    <definedName name="cod06cargos">'Haberes jubilados'!#REF!</definedName>
    <definedName name="cod06cargosago08">'Haberes jubilados'!#REF!</definedName>
    <definedName name="cod06cargosdic08">'Haberes jubilados'!$C$74:$C$85</definedName>
    <definedName name="cod06cargosfeb09">'Haberes jubilados'!$C$89:$C$100</definedName>
    <definedName name="cod06cargosoct08">'Haberes jubilados'!#REF!</definedName>
    <definedName name="cod06cargosvar1">'para varios cargos'!$F$6:$F$17</definedName>
    <definedName name="cod06cargosvar2">'para varios cargos'!$F$64:$F$75</definedName>
    <definedName name="cod06cargosvar3">'para varios cargos'!$F$125:$F$136</definedName>
    <definedName name="cod06cargosvar4">'para varios cargos'!$F$186:$F$197</definedName>
    <definedName name="cod06dic08">'Haberes jubilados'!$F$56</definedName>
    <definedName name="cod06feb07">'Haberes jubilados'!#REF!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feb09">'Haberes jubilados'!$I$56</definedName>
    <definedName name="cod06horas">'Haberes jubilados'!#REF!</definedName>
    <definedName name="cod06med">'[1]Prop 24 feb 06'!$D$71</definedName>
    <definedName name="cod06medago07">'Haberes jubilados'!$D$61</definedName>
    <definedName name="cod06medfeb07">'Haberes jubilados'!$B$61</definedName>
    <definedName name="cod06medsep07">'Haberes jubilados'!$F$61</definedName>
    <definedName name="cod06oct08">'Haberes jubilados'!$F$56</definedName>
    <definedName name="cod06sep07">'Haberes jubilados'!#REF!</definedName>
    <definedName name="cod06sep07varios1">'para varios cargos'!$G$19</definedName>
    <definedName name="cod06sep07varios2">'para varios cargos'!$G$77</definedName>
    <definedName name="cod06sep07varios3">'para varios cargos'!$G$138</definedName>
    <definedName name="cod06sep07varios4">'para varios cargos'!$G$199</definedName>
    <definedName name="cod06sup">'[1]Prop 24 feb 06'!$D$77</definedName>
    <definedName name="cod06supago07">'Haberes jubilados'!$D$67</definedName>
    <definedName name="cod06supfeb07">'Haberes jubilados'!$B$67</definedName>
    <definedName name="cod06supsep07">'Haberes jubilados'!$F$67</definedName>
    <definedName name="cod17feb07">'Haberes jubilados'!#REF!</definedName>
    <definedName name="cod17medfeb07">'Haberes jubilados'!$B$62</definedName>
    <definedName name="cod17supfeb07">'Haberes jubilados'!$B$68</definedName>
    <definedName name="cod22medfeb07">'Haberes jubilados'!$B$60</definedName>
    <definedName name="cod22supfeb07">'Haberes jubilados'!$B$66</definedName>
    <definedName name="cod38feb07">'Haberes jubilados'!#REF!</definedName>
    <definedName name="cod38med">'Haberes jubilados'!#REF!</definedName>
    <definedName name="cod38medfeb07">'Haberes jubilados'!$B$59</definedName>
    <definedName name="cod38sup">'Haberes jubilados'!#REF!</definedName>
    <definedName name="cod38supfeb07">'Haberes jubilados'!$B$65</definedName>
    <definedName name="compbasico">'Haberes jubilados'!$F$120</definedName>
    <definedName name="compbasicovarios1">'para varios cargos'!$I$25</definedName>
    <definedName name="compbasicovarios2">'para varios cargos'!$I$83</definedName>
    <definedName name="compbasicovarios3">'para varios cargos'!$I$145</definedName>
    <definedName name="compbasicovarios4">'para varios cargos'!$I$206</definedName>
    <definedName name="cuartocargo">'para varios cargos'!$E$203</definedName>
    <definedName name="frac">'Haberes jubilados'!$F$123</definedName>
    <definedName name="frac1">'para varios cargos'!$I$28</definedName>
    <definedName name="frac2">'para varios cargos'!$I$86</definedName>
    <definedName name="frac3">'para varios cargos'!$I$148</definedName>
    <definedName name="frac4">'para varios cargos'!$I$209</definedName>
    <definedName name="horasmedia">'Haberes jubilados'!$B$160</definedName>
    <definedName name="horassuperior">'Haberes jubilados'!$B$190</definedName>
    <definedName name="indiceago07">'Haberes jubilados'!#REF!</definedName>
    <definedName name="indiceago08">'Haberes jubilados'!#REF!</definedName>
    <definedName name="indicedic08">'Haberes jubilados'!#REF!</definedName>
    <definedName name="indicefeb07">'Haberes jubilados'!#REF!</definedName>
    <definedName name="indicefeb09">'Haberes jubilados'!$E$50</definedName>
    <definedName name="indicejul08">'Haberes jubilados'!#REF!</definedName>
    <definedName name="indicemar08">'Haberes jubilados'!#REF!</definedName>
    <definedName name="indiceoct08">'Haberes jubilados'!$B$50</definedName>
    <definedName name="indiceproljor">'Haberes jubilados'!#REF!</definedName>
    <definedName name="indicesep07">'Haberes jubilados'!#REF!</definedName>
    <definedName name="indicesept07">'Haberes jubilados'!#REF!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jubilados'!#REF!</definedName>
    <definedName name="nuevocod06cargo">'Haberes jubilados'!#REF!</definedName>
    <definedName name="nuevocod06cargovarios">'para varios cargos'!#REF!</definedName>
    <definedName name="nuevocod06horas">'Haberes jubilados'!#REF!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jubilados'!#REF!</definedName>
    <definedName name="nuevocod38sup">'Haberes jubilados'!#REF!</definedName>
    <definedName name="nuevoindproljor">'Haberes jubilados'!#REF!</definedName>
    <definedName name="nuevoproljornada">'[1]Prop 24 feb 06'!$G$63</definedName>
    <definedName name="nuevopuntoindice">'Haberes jubilados'!#REF!</definedName>
    <definedName name="nuevopuntoíndice">'[1]Prop 24 feb 06'!$G$57</definedName>
    <definedName name="numerocargo">'Cargos'!$A$3:$A$314</definedName>
    <definedName name="numhorasmed">'Haberes jubilados'!$D$162</definedName>
    <definedName name="numhorassup">'Haberes jubilados'!$D$192</definedName>
    <definedName name="porant">'Haberes jubilados'!$B$74:$B$85</definedName>
    <definedName name="porantvar1">'para varios cargos'!$E$6:$E$17</definedName>
    <definedName name="porantvar2">'para varios cargos'!$E$64:$E$75</definedName>
    <definedName name="porantvar3">'para varios cargos'!$E$125:$E$136</definedName>
    <definedName name="porantvar4">'para varios cargos'!$E$186:$E$197</definedName>
    <definedName name="porcantigcargo">'Haberes jubilados'!$D$128</definedName>
    <definedName name="porcantighorasmed">'Haberes jubilados'!$D$163</definedName>
    <definedName name="porcantigsup">'Haberes jubilados'!$D$193</definedName>
    <definedName name="porczona">'Haberes jubilados'!$C$125</definedName>
    <definedName name="primercargo">'para varios cargos'!$E$22</definedName>
    <definedName name="proljorago07">'Haberes jubilados'!#REF!</definedName>
    <definedName name="proljorago08">'Haberes jubilados'!#REF!</definedName>
    <definedName name="proljorcargo">'Cargos'!$F$3:$F$314</definedName>
    <definedName name="proljordic08">'Haberes jubilados'!#REF!</definedName>
    <definedName name="proljorfeb07">'Haberes jubilados'!#REF!</definedName>
    <definedName name="proljorfeb09">'Haberes jubilados'!$E$54</definedName>
    <definedName name="proljorjul08">'Haberes jubilados'!#REF!</definedName>
    <definedName name="proljormar08">'Haberes jubilados'!#REF!</definedName>
    <definedName name="proljoroct08">'Haberes jubilados'!$B$54</definedName>
    <definedName name="proljorsep07">'Haberes jubilados'!#REF!</definedName>
    <definedName name="punbasjub">'Haberes jubilados'!$D$130</definedName>
    <definedName name="punbasjubvarios1">'para varios cargos'!$F$35</definedName>
    <definedName name="punbasjubvarios2">'para varios cargos'!$F$94</definedName>
    <definedName name="punbasjubvarios3">'para varios cargos'!$F$156</definedName>
    <definedName name="punbasjubvarios4">'para varios cargos'!$F$217</definedName>
    <definedName name="punproljor">'Haberes jubilados'!$G$162</definedName>
    <definedName name="punto_índice">'[1]Prop 24 feb 06'!$D$57</definedName>
    <definedName name="puntoindice">'Haberes jubilados'!#REF!</definedName>
    <definedName name="PUNTOSbasicos">'Haberes jubilados'!$B$120</definedName>
    <definedName name="puntosbasicoscargo">'Cargos'!$C$3:$C$314</definedName>
    <definedName name="puntoscompbasico">'Cargos'!$D$3:$D$313</definedName>
    <definedName name="puntosproljor">'Haberes jubilados'!$G$130</definedName>
    <definedName name="puntosproljorvarios1">'para varios cargos'!$I$35</definedName>
    <definedName name="puntosproljorvarios2">'para varios cargos'!$I$94</definedName>
    <definedName name="puntosproljorvarios3">'para varios cargos'!$I$156</definedName>
    <definedName name="puntosproljorvarios4">'para varios cargos'!$I$217</definedName>
    <definedName name="puntostotalhorassup">'Haberes jubilados'!$D$195</definedName>
    <definedName name="puntotalhorasmed">'Haberes jubilados'!$D$165</definedName>
    <definedName name="recibofinal">'para varios cargos'!$G$244</definedName>
    <definedName name="salminimofeb07">'Haberes jubilados'!#REF!</definedName>
    <definedName name="salminjorcom">'Haberes jubilados'!$A$65</definedName>
    <definedName name="segundocargo">'para varios cargos'!$E$80</definedName>
    <definedName name="tardifcargo">'Cargos'!$E$3:$E$314</definedName>
    <definedName name="tercercargo">'para varios cargos'!$E$142</definedName>
    <definedName name="valor_cod_038">'[1]Prop 24 feb 06'!$D$61</definedName>
    <definedName name="valor_prol_jor">'[1]Prop 24 feb 06'!$D$63</definedName>
    <definedName name="valorcod038">'Haberes jubilados'!#REF!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2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2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2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2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3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8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8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8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9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14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5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5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20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0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1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1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<sst xmlns="http://schemas.openxmlformats.org/spreadsheetml/2006/main" count="769" uniqueCount="441">
  <si>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</si>
  <si>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</si>
  <si>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</si>
  <si>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</si>
  <si>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</si>
  <si>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</si>
  <si>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</si>
  <si>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</si>
  <si>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</si>
  <si>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</si>
  <si>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</si>
  <si>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</si>
  <si>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</si>
  <si>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</si>
  <si>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</si>
  <si>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</si>
  <si>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</si>
  <si>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</si>
  <si>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</si>
  <si>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</si>
  <si>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</si>
  <si>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</si>
  <si>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</si>
  <si>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</si>
  <si>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</si>
  <si>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</si>
  <si>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</si>
  <si>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</si>
  <si>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</si>
  <si>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</si>
  <si>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</si>
  <si>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</si>
  <si>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</si>
  <si>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</si>
  <si>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</si>
  <si>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</si>
  <si>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</si>
  <si>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</si>
  <si>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</si>
  <si>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</si>
  <si>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</si>
  <si>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</si>
  <si>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</si>
  <si>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</si>
  <si>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</si>
  <si>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</si>
  <si>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</si>
  <si>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</si>
  <si>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</si>
  <si>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</si>
  <si>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</si>
  <si>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</si>
  <si>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</si>
  <si>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</si>
  <si>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</si>
  <si>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</si>
  <si>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</si>
  <si>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</si>
  <si>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</si>
  <si>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</si>
  <si>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</si>
  <si>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</si>
  <si>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</si>
  <si>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</si>
  <si>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</si>
  <si>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</si>
  <si>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</si>
  <si>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</si>
  <si>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</si>
  <si>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</si>
  <si>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</si>
  <si>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</si>
  <si>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</si>
  <si>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</si>
  <si>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</si>
  <si>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</si>
  <si>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</si>
  <si>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</si>
  <si>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</si>
  <si>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</si>
  <si>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</si>
  <si>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</si>
  <si>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</si>
  <si>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</si>
  <si>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</si>
  <si>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</si>
  <si>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</si>
  <si>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</si>
  <si>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</si>
  <si>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</si>
  <si>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</si>
  <si>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</si>
  <si>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</si>
  <si>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</si>
  <si>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</si>
  <si>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</si>
  <si>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</si>
  <si>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</si>
  <si>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</si>
  <si>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</si>
  <si>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</si>
  <si>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</si>
  <si>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</si>
  <si>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</si>
  <si>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</si>
  <si>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</si>
  <si>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</si>
  <si>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</si>
  <si>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</si>
  <si>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</si>
  <si>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</si>
  <si>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</si>
  <si>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</si>
  <si>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</si>
  <si>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</si>
  <si>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</si>
  <si>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</si>
  <si>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</si>
  <si>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</si>
  <si>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</si>
  <si>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</si>
  <si>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</si>
  <si>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</si>
  <si>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</si>
  <si>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</si>
  <si>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</si>
  <si>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</si>
  <si>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</si>
  <si>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</si>
  <si>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</si>
  <si>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</si>
  <si>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</si>
  <si>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</si>
  <si>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</si>
  <si>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</si>
  <si>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</si>
  <si>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</si>
  <si>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</si>
  <si>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</si>
  <si>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</si>
  <si>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</si>
  <si>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</si>
  <si>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</si>
  <si>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</si>
  <si>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</si>
  <si>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</si>
  <si>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</si>
  <si>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</si>
  <si>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</si>
  <si>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</si>
  <si>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</si>
  <si>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</si>
  <si>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</si>
  <si>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</si>
  <si>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</si>
  <si>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</si>
  <si>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</si>
  <si>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</si>
  <si>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</si>
  <si>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</si>
  <si>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</si>
  <si>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</si>
  <si>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</si>
  <si>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</si>
  <si>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</si>
  <si>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</si>
  <si>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</si>
  <si>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</si>
  <si>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</si>
  <si>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</si>
  <si>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</si>
  <si>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</si>
  <si>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</si>
  <si>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</si>
  <si>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</si>
  <si>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</si>
  <si>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</si>
  <si>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</si>
  <si>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</si>
  <si>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</si>
  <si>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</si>
  <si>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</si>
  <si>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</si>
  <si>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</si>
  <si>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</si>
  <si>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</si>
  <si>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</si>
  <si>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</si>
  <si>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</si>
  <si>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</si>
  <si>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</si>
  <si>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</si>
  <si>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</si>
  <si>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</si>
  <si>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</si>
  <si>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</si>
  <si>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</si>
  <si>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</si>
  <si>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</si>
  <si>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</si>
  <si>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</si>
  <si>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</si>
  <si>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</si>
  <si>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</si>
  <si>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</si>
  <si>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</si>
  <si>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</si>
  <si>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</si>
  <si>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</si>
  <si>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</si>
  <si>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</si>
  <si>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</si>
  <si>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</si>
  <si>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</si>
  <si>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</si>
  <si>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</si>
  <si>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</si>
  <si>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</si>
  <si>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</si>
  <si>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</si>
  <si>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</si>
  <si>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</si>
  <si>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</si>
  <si>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</si>
  <si>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</si>
  <si>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</si>
  <si>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</si>
  <si>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</si>
  <si>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</si>
  <si>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</si>
  <si>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</si>
  <si>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</si>
  <si>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</si>
  <si>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</si>
  <si>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</si>
  <si>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</si>
  <si>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</si>
  <si>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</si>
  <si>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</si>
  <si>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</si>
  <si>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</si>
  <si>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</si>
  <si>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</si>
  <si>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</si>
  <si>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</si>
  <si>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</si>
  <si>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</si>
  <si>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</si>
  <si>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</si>
  <si>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</si>
  <si>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</si>
  <si>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</si>
  <si>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</si>
  <si>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</si>
  <si>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</si>
  <si>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</si>
  <si>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</si>
  <si>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</si>
  <si>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</si>
  <si>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</si>
  <si>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</si>
  <si>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</si>
  <si>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</si>
  <si>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</si>
  <si>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</si>
  <si>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</si>
  <si>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</si>
  <si>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</si>
  <si>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</si>
  <si>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</si>
  <si>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</si>
  <si>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</si>
  <si>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</si>
  <si>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</si>
  <si>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</si>
  <si>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</si>
  <si>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</si>
  <si>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</si>
  <si>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</si>
  <si>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</si>
  <si>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</si>
  <si>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</si>
  <si>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</si>
  <si>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</si>
  <si>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</si>
  <si>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</si>
  <si>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</si>
  <si>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</si>
  <si>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</si>
  <si>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</si>
  <si>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</si>
  <si>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</si>
  <si>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</si>
  <si>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</si>
  <si>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</si>
  <si>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</si>
  <si>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</si>
  <si>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</si>
  <si>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</si>
  <si>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</si>
  <si>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</si>
  <si>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</si>
  <si>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</si>
  <si>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</si>
  <si>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</si>
  <si>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</si>
  <si>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</si>
  <si>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</si>
  <si>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</si>
  <si>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</si>
  <si>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</si>
  <si>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</si>
  <si>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</si>
  <si>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</si>
  <si>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</si>
  <si>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</si>
  <si>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</si>
  <si>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</si>
  <si>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</si>
  <si>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</si>
  <si>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</si>
  <si>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</si>
  <si>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</si>
  <si>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</si>
  <si>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</si>
  <si>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</si>
  <si>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</si>
  <si>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</si>
  <si>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</si>
  <si>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</si>
  <si>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</si>
  <si>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</si>
  <si>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</si>
  <si>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</si>
  <si>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</si>
  <si>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</si>
  <si>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</si>
  <si>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</si>
  <si>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</si>
  <si>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</si>
  <si>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</si>
  <si>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</si>
  <si>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</si>
  <si>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</si>
  <si>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</si>
  <si>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</si>
  <si>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</si>
  <si>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</si>
  <si>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</si>
  <si>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</si>
  <si>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</si>
  <si>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</si>
  <si>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</si>
  <si>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</si>
  <si>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</si>
  <si>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</si>
  <si>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</si>
  <si>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</si>
  <si>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</si>
  <si>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</si>
  <si>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</si>
  <si>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</si>
  <si>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</si>
  <si>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</si>
  <si>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</si>
  <si>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</si>
  <si>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</si>
  <si>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</si>
  <si>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</si>
  <si>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</si>
  <si>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</si>
  <si>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</si>
  <si>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</si>
  <si>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</si>
  <si>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</si>
  <si>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</si>
  <si>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</si>
  <si>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</si>
  <si>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</si>
  <si>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</si>
  <si>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</si>
  <si>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</si>
  <si>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</si>
  <si>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Simulador para calcular el sueldo de un jubilado que se desempeñó en varios cargos</t>
  </si>
  <si>
    <t>Control 120 meses:</t>
  </si>
  <si>
    <t>Deben sumar 120 meses</t>
  </si>
  <si>
    <t>cod06medago07</t>
  </si>
  <si>
    <t>cod06supago07</t>
  </si>
  <si>
    <t>cod06medsep07</t>
  </si>
  <si>
    <t>cod06supsep07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</si>
  <si>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</si>
  <si>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</si>
  <si>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</si>
  <si>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</si>
  <si>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</si>
  <si>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</si>
  <si>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</si>
  <si>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</si>
  <si>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</si>
  <si>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cod06sep07varios1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</si>
  <si>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</si>
  <si>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</si>
  <si>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</si>
  <si>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</si>
  <si>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</si>
  <si>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</si>
  <si>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</si>
  <si>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</si>
  <si>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</si>
  <si>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</si>
  <si>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</si>
  <si>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cod06sep07varios2</t>
  </si>
  <si>
    <t>cod06sep07varios3</t>
  </si>
  <si>
    <t>cod06sep07varios4</t>
  </si>
  <si>
    <t>Puntos  prol jornada</t>
  </si>
  <si>
    <t>indiceoct08</t>
  </si>
  <si>
    <t>proljoroct08</t>
  </si>
  <si>
    <t>cod06dic08</t>
  </si>
  <si>
    <t>Secretario General</t>
  </si>
  <si>
    <t>www.porunagmerdetodos.com.ar</t>
  </si>
  <si>
    <t>Salario Octubre 2008</t>
  </si>
  <si>
    <t>Octubre</t>
  </si>
  <si>
    <t>Jubilados Docentes de Entre Ríós</t>
  </si>
  <si>
    <t>Para ello deben ingresar en "para varios cargos" seleccionando en la solapa que aparece en la parte inferior.</t>
  </si>
  <si>
    <t xml:space="preserve">Se deberá completar la cantidad de meses en cada cargo en el lugar señalado, </t>
  </si>
  <si>
    <t>Luego controlar que en el recibo final aparezcan 120 meses en total.</t>
  </si>
  <si>
    <t>Salario Desde Octubre de 2.008</t>
  </si>
  <si>
    <t>Salario a partir de Octubre de 2.008</t>
  </si>
  <si>
    <t>Recibo Final</t>
  </si>
  <si>
    <t>Autor</t>
  </si>
  <si>
    <t>Dec 1266/08 Art 4º</t>
  </si>
  <si>
    <t>26 de febrero de 2,009</t>
  </si>
  <si>
    <t>Propuesta 26 feb 09</t>
  </si>
  <si>
    <t>indicefeb09</t>
  </si>
  <si>
    <t>proljorfeb09</t>
  </si>
  <si>
    <t>cod06feb09</t>
  </si>
  <si>
    <t>Aumento de bolsillo</t>
  </si>
  <si>
    <t>Aumento porcentual</t>
  </si>
  <si>
    <t xml:space="preserve">Hoja de cálculo  para evaluar propusta salarial para </t>
  </si>
  <si>
    <t>Según propuesta del 26 de Febrero de 2,009</t>
  </si>
  <si>
    <t>Está hecho en base a los valores propuestos de aumentos el 26 de Febrero de 2,009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</si>
</sst>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  <numFmt numFmtId="186" formatCode="&quot;$&quot;\ #,##0.00"/>
  </numFmts>
  <fonts count="73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sz val="18"/>
      <name val="Arial"/>
      <family val="0"/>
    </font>
    <font>
      <sz val="10"/>
      <color indexed="52"/>
      <name val="Arial"/>
      <family val="0"/>
    </font>
    <font>
      <b/>
      <sz val="16"/>
      <color indexed="12"/>
      <name val="Arial"/>
      <family val="2"/>
    </font>
    <font>
      <b/>
      <u val="single"/>
      <sz val="14"/>
      <color indexed="11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9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28" fillId="4" borderId="11" xfId="15" applyFont="1" applyFill="1" applyBorder="1" applyAlignment="1" applyProtection="1">
      <alignment/>
      <protection/>
    </xf>
    <xf numFmtId="0" fontId="36" fillId="2" borderId="3" xfId="0" applyFont="1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8" fillId="4" borderId="13" xfId="15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37" fillId="4" borderId="15" xfId="15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19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1" fontId="21" fillId="0" borderId="22" xfId="0" applyNumberFormat="1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/>
      <protection/>
    </xf>
    <xf numFmtId="2" fontId="34" fillId="0" borderId="18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4" fillId="0" borderId="18" xfId="0" applyNumberFormat="1" applyFont="1" applyBorder="1" applyAlignment="1" applyProtection="1">
      <alignment horizontal="right"/>
      <protection/>
    </xf>
    <xf numFmtId="2" fontId="21" fillId="0" borderId="22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9" fontId="20" fillId="0" borderId="24" xfId="0" applyNumberFormat="1" applyFont="1" applyBorder="1" applyAlignment="1" applyProtection="1">
      <alignment horizontal="center"/>
      <protection locked="0"/>
    </xf>
    <xf numFmtId="0" fontId="2" fillId="7" borderId="25" xfId="0" applyFont="1" applyFill="1" applyBorder="1" applyAlignment="1" applyProtection="1">
      <alignment/>
      <protection/>
    </xf>
    <xf numFmtId="0" fontId="2" fillId="8" borderId="26" xfId="0" applyFont="1" applyFill="1" applyBorder="1" applyAlignment="1" applyProtection="1">
      <alignment/>
      <protection/>
    </xf>
    <xf numFmtId="0" fontId="0" fillId="8" borderId="27" xfId="0" applyFill="1" applyBorder="1" applyAlignment="1" applyProtection="1">
      <alignment/>
      <protection/>
    </xf>
    <xf numFmtId="9" fontId="24" fillId="9" borderId="28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20" fillId="8" borderId="29" xfId="0" applyFont="1" applyFill="1" applyBorder="1" applyAlignment="1" applyProtection="1">
      <alignment/>
      <protection locked="0"/>
    </xf>
    <xf numFmtId="0" fontId="2" fillId="10" borderId="30" xfId="0" applyFont="1" applyFill="1" applyBorder="1" applyAlignment="1" applyProtection="1">
      <alignment horizontal="right"/>
      <protection/>
    </xf>
    <xf numFmtId="0" fontId="2" fillId="10" borderId="3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9" fontId="20" fillId="0" borderId="24" xfId="21" applyFont="1" applyBorder="1" applyAlignment="1" applyProtection="1">
      <alignment horizontal="center"/>
      <protection locked="0"/>
    </xf>
    <xf numFmtId="9" fontId="22" fillId="5" borderId="32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34" fillId="3" borderId="18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34" fillId="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3" xfId="0" applyFont="1" applyFill="1" applyBorder="1" applyAlignment="1" applyProtection="1">
      <alignment/>
      <protection/>
    </xf>
    <xf numFmtId="0" fontId="24" fillId="3" borderId="33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9" fillId="8" borderId="26" xfId="0" applyFont="1" applyFill="1" applyBorder="1" applyAlignment="1" applyProtection="1">
      <alignment/>
      <protection/>
    </xf>
    <xf numFmtId="0" fontId="50" fillId="8" borderId="29" xfId="0" applyFont="1" applyFill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4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7" xfId="0" applyFont="1" applyFill="1" applyBorder="1" applyAlignment="1" applyProtection="1">
      <alignment/>
      <protection/>
    </xf>
    <xf numFmtId="0" fontId="51" fillId="5" borderId="10" xfId="0" applyFont="1" applyFill="1" applyBorder="1" applyAlignment="1">
      <alignment/>
    </xf>
    <xf numFmtId="0" fontId="52" fillId="5" borderId="10" xfId="0" applyFont="1" applyFill="1" applyBorder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6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58" fillId="3" borderId="34" xfId="15" applyFont="1" applyFill="1" applyBorder="1" applyAlignment="1">
      <alignment/>
    </xf>
    <xf numFmtId="0" fontId="58" fillId="4" borderId="34" xfId="15" applyFont="1" applyFill="1" applyBorder="1" applyAlignment="1">
      <alignment/>
    </xf>
    <xf numFmtId="0" fontId="59" fillId="6" borderId="34" xfId="15" applyFont="1" applyFill="1" applyBorder="1" applyAlignment="1">
      <alignment/>
    </xf>
    <xf numFmtId="0" fontId="58" fillId="16" borderId="34" xfId="15" applyFont="1" applyFill="1" applyBorder="1" applyAlignment="1">
      <alignment/>
    </xf>
    <xf numFmtId="0" fontId="37" fillId="0" borderId="34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0" fontId="3" fillId="0" borderId="35" xfId="0" applyFont="1" applyBorder="1" applyAlignment="1" applyProtection="1">
      <alignment horizontal="center"/>
      <protection/>
    </xf>
    <xf numFmtId="9" fontId="24" fillId="9" borderId="36" xfId="21" applyFont="1" applyFill="1" applyBorder="1" applyAlignment="1" applyProtection="1">
      <alignment/>
      <protection/>
    </xf>
    <xf numFmtId="0" fontId="20" fillId="0" borderId="37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2" fillId="17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38" xfId="21" applyFont="1" applyFill="1" applyBorder="1" applyAlignment="1" applyProtection="1">
      <alignment/>
      <protection/>
    </xf>
    <xf numFmtId="0" fontId="14" fillId="0" borderId="39" xfId="0" applyFont="1" applyBorder="1" applyAlignment="1">
      <alignment horizontal="center"/>
    </xf>
    <xf numFmtId="9" fontId="24" fillId="4" borderId="38" xfId="21" applyFont="1" applyFill="1" applyBorder="1" applyAlignment="1" applyProtection="1">
      <alignment/>
      <protection/>
    </xf>
    <xf numFmtId="0" fontId="0" fillId="17" borderId="2" xfId="0" applyFill="1" applyBorder="1" applyAlignment="1" applyProtection="1">
      <alignment/>
      <protection/>
    </xf>
    <xf numFmtId="9" fontId="24" fillId="4" borderId="40" xfId="21" applyFont="1" applyFill="1" applyBorder="1" applyAlignment="1" applyProtection="1">
      <alignment/>
      <protection/>
    </xf>
    <xf numFmtId="0" fontId="20" fillId="0" borderId="41" xfId="0" applyFont="1" applyFill="1" applyBorder="1" applyAlignment="1" applyProtection="1">
      <alignment horizontal="center"/>
      <protection/>
    </xf>
    <xf numFmtId="10" fontId="53" fillId="0" borderId="0" xfId="21" applyNumberFormat="1" applyFont="1" applyFill="1" applyBorder="1" applyAlignment="1" applyProtection="1">
      <alignment horizontal="right"/>
      <protection/>
    </xf>
    <xf numFmtId="2" fontId="53" fillId="0" borderId="0" xfId="0" applyNumberFormat="1" applyFont="1" applyFill="1" applyAlignment="1" applyProtection="1">
      <alignment/>
      <protection/>
    </xf>
    <xf numFmtId="10" fontId="54" fillId="0" borderId="0" xfId="21" applyNumberFormat="1" applyFont="1" applyFill="1" applyBorder="1" applyAlignment="1" applyProtection="1">
      <alignment horizontal="left"/>
      <protection/>
    </xf>
    <xf numFmtId="10" fontId="53" fillId="0" borderId="0" xfId="21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2" fontId="0" fillId="0" borderId="43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left"/>
      <protection/>
    </xf>
    <xf numFmtId="2" fontId="0" fillId="0" borderId="45" xfId="0" applyNumberFormat="1" applyBorder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46" xfId="19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48" xfId="0" applyNumberFormat="1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0" fillId="0" borderId="0" xfId="0" applyNumberFormat="1" applyFont="1" applyFill="1" applyBorder="1" applyAlignment="1" applyProtection="1">
      <alignment/>
      <protection/>
    </xf>
    <xf numFmtId="10" fontId="48" fillId="0" borderId="0" xfId="21" applyNumberFormat="1" applyFont="1" applyFill="1" applyBorder="1" applyAlignment="1" applyProtection="1">
      <alignment horizontal="center"/>
      <protection/>
    </xf>
    <xf numFmtId="172" fontId="61" fillId="0" borderId="0" xfId="0" applyNumberFormat="1" applyFont="1" applyFill="1" applyBorder="1" applyAlignment="1" applyProtection="1">
      <alignment/>
      <protection/>
    </xf>
    <xf numFmtId="10" fontId="61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0" fillId="3" borderId="0" xfId="0" applyFont="1" applyFill="1" applyBorder="1" applyAlignment="1" applyProtection="1">
      <alignment/>
      <protection/>
    </xf>
    <xf numFmtId="0" fontId="40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0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/>
      <protection/>
    </xf>
    <xf numFmtId="2" fontId="18" fillId="16" borderId="0" xfId="0" applyNumberFormat="1" applyFont="1" applyFill="1" applyBorder="1" applyAlignment="1" applyProtection="1">
      <alignment horizontal="right"/>
      <protection/>
    </xf>
    <xf numFmtId="172" fontId="25" fillId="16" borderId="0" xfId="0" applyNumberFormat="1" applyFont="1" applyFill="1" applyBorder="1" applyAlignment="1" applyProtection="1">
      <alignment/>
      <protection/>
    </xf>
    <xf numFmtId="10" fontId="25" fillId="16" borderId="0" xfId="21" applyNumberFormat="1" applyFont="1" applyFill="1" applyBorder="1" applyAlignment="1" applyProtection="1">
      <alignment horizontal="right"/>
      <protection/>
    </xf>
    <xf numFmtId="0" fontId="40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3" fillId="15" borderId="0" xfId="0" applyFont="1" applyFill="1" applyAlignment="1">
      <alignment/>
    </xf>
    <xf numFmtId="43" fontId="0" fillId="0" borderId="0" xfId="17" applyFont="1" applyFill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0" fontId="63" fillId="0" borderId="0" xfId="0" applyFont="1" applyAlignment="1" applyProtection="1">
      <alignment/>
      <protection/>
    </xf>
    <xf numFmtId="10" fontId="53" fillId="18" borderId="0" xfId="21" applyNumberFormat="1" applyFont="1" applyFill="1" applyBorder="1" applyAlignment="1" applyProtection="1">
      <alignment horizontal="right"/>
      <protection/>
    </xf>
    <xf numFmtId="0" fontId="46" fillId="4" borderId="49" xfId="0" applyFont="1" applyFill="1" applyBorder="1" applyAlignment="1" applyProtection="1">
      <alignment/>
      <protection/>
    </xf>
    <xf numFmtId="0" fontId="46" fillId="4" borderId="50" xfId="0" applyFont="1" applyFill="1" applyBorder="1" applyAlignment="1" applyProtection="1">
      <alignment/>
      <protection/>
    </xf>
    <xf numFmtId="0" fontId="46" fillId="4" borderId="0" xfId="0" applyFont="1" applyFill="1" applyBorder="1" applyAlignment="1" applyProtection="1">
      <alignment/>
      <protection/>
    </xf>
    <xf numFmtId="0" fontId="47" fillId="4" borderId="50" xfId="15" applyFont="1" applyFill="1" applyBorder="1" applyAlignment="1" applyProtection="1">
      <alignment/>
      <protection/>
    </xf>
    <xf numFmtId="0" fontId="45" fillId="4" borderId="50" xfId="15" applyFont="1" applyFill="1" applyBorder="1" applyAlignment="1" applyProtection="1">
      <alignment/>
      <protection/>
    </xf>
    <xf numFmtId="0" fontId="46" fillId="4" borderId="51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 locked="0"/>
    </xf>
    <xf numFmtId="0" fontId="29" fillId="0" borderId="20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left"/>
      <protection/>
    </xf>
    <xf numFmtId="0" fontId="64" fillId="19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21" applyFill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" fontId="21" fillId="0" borderId="2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19" borderId="0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20" borderId="0" xfId="0" applyFont="1" applyFill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right"/>
      <protection locked="0"/>
    </xf>
    <xf numFmtId="10" fontId="35" fillId="0" borderId="0" xfId="21" applyNumberFormat="1" applyFont="1" applyFill="1" applyBorder="1" applyAlignment="1" applyProtection="1">
      <alignment horizontal="right"/>
      <protection/>
    </xf>
    <xf numFmtId="2" fontId="6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9" fillId="8" borderId="52" xfId="0" applyFont="1" applyFill="1" applyBorder="1" applyAlignment="1" applyProtection="1">
      <alignment/>
      <protection/>
    </xf>
    <xf numFmtId="0" fontId="7" fillId="8" borderId="53" xfId="15" applyFont="1" applyFill="1" applyBorder="1" applyAlignment="1" applyProtection="1">
      <alignment/>
      <protection/>
    </xf>
    <xf numFmtId="0" fontId="0" fillId="8" borderId="53" xfId="0" applyFill="1" applyBorder="1" applyAlignment="1" applyProtection="1">
      <alignment/>
      <protection/>
    </xf>
    <xf numFmtId="0" fontId="0" fillId="8" borderId="54" xfId="0" applyFill="1" applyBorder="1" applyAlignment="1" applyProtection="1">
      <alignment/>
      <protection/>
    </xf>
    <xf numFmtId="2" fontId="0" fillId="0" borderId="0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2" fillId="0" borderId="2" xfId="0" applyNumberFormat="1" applyFont="1" applyBorder="1" applyAlignment="1" applyProtection="1">
      <alignment horizontal="left"/>
      <protection locked="0"/>
    </xf>
    <xf numFmtId="0" fontId="66" fillId="15" borderId="0" xfId="0" applyFont="1" applyFill="1" applyAlignment="1">
      <alignment/>
    </xf>
    <xf numFmtId="0" fontId="67" fillId="0" borderId="0" xfId="0" applyFont="1" applyAlignment="1" applyProtection="1">
      <alignment/>
      <protection/>
    </xf>
    <xf numFmtId="0" fontId="35" fillId="20" borderId="55" xfId="0" applyFont="1" applyFill="1" applyBorder="1" applyAlignment="1" applyProtection="1">
      <alignment/>
      <protection/>
    </xf>
    <xf numFmtId="0" fontId="35" fillId="20" borderId="56" xfId="0" applyFont="1" applyFill="1" applyBorder="1" applyAlignment="1" applyProtection="1">
      <alignment/>
      <protection/>
    </xf>
    <xf numFmtId="0" fontId="0" fillId="20" borderId="57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 horizontal="right"/>
      <protection/>
    </xf>
    <xf numFmtId="172" fontId="0" fillId="20" borderId="0" xfId="0" applyNumberFormat="1" applyFill="1" applyBorder="1" applyAlignment="1" applyProtection="1">
      <alignment/>
      <protection/>
    </xf>
    <xf numFmtId="2" fontId="18" fillId="20" borderId="0" xfId="0" applyNumberFormat="1" applyFont="1" applyFill="1" applyBorder="1" applyAlignment="1" applyProtection="1">
      <alignment horizontal="right"/>
      <protection/>
    </xf>
    <xf numFmtId="172" fontId="25" fillId="20" borderId="0" xfId="0" applyNumberFormat="1" applyFont="1" applyFill="1" applyBorder="1" applyAlignment="1" applyProtection="1">
      <alignment/>
      <protection/>
    </xf>
    <xf numFmtId="10" fontId="25" fillId="20" borderId="0" xfId="21" applyNumberFormat="1" applyFont="1" applyFill="1" applyBorder="1" applyAlignment="1" applyProtection="1">
      <alignment horizontal="right"/>
      <protection/>
    </xf>
    <xf numFmtId="0" fontId="47" fillId="4" borderId="58" xfId="15" applyFont="1" applyFill="1" applyBorder="1" applyAlignment="1" applyProtection="1">
      <alignment/>
      <protection/>
    </xf>
    <xf numFmtId="0" fontId="48" fillId="20" borderId="19" xfId="0" applyFont="1" applyFill="1" applyBorder="1" applyAlignment="1">
      <alignment/>
    </xf>
    <xf numFmtId="0" fontId="22" fillId="4" borderId="0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 locked="0"/>
    </xf>
    <xf numFmtId="0" fontId="20" fillId="4" borderId="0" xfId="0" applyFont="1" applyFill="1" applyBorder="1" applyAlignment="1" applyProtection="1">
      <alignment/>
      <protection locked="0"/>
    </xf>
    <xf numFmtId="0" fontId="20" fillId="6" borderId="0" xfId="0" applyFont="1" applyFill="1" applyBorder="1" applyAlignment="1" applyProtection="1">
      <alignment/>
      <protection locked="0"/>
    </xf>
    <xf numFmtId="0" fontId="22" fillId="6" borderId="0" xfId="0" applyFont="1" applyFill="1" applyBorder="1" applyAlignment="1" applyProtection="1">
      <alignment/>
      <protection/>
    </xf>
    <xf numFmtId="0" fontId="20" fillId="16" borderId="0" xfId="0" applyFont="1" applyFill="1" applyBorder="1" applyAlignment="1" applyProtection="1">
      <alignment/>
      <protection locked="0"/>
    </xf>
    <xf numFmtId="0" fontId="22" fillId="16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18" fillId="0" borderId="2" xfId="0" applyFont="1" applyBorder="1" applyAlignment="1" applyProtection="1">
      <alignment/>
      <protection/>
    </xf>
    <xf numFmtId="0" fontId="23" fillId="18" borderId="0" xfId="0" applyFont="1" applyFill="1" applyBorder="1" applyAlignment="1" applyProtection="1">
      <alignment horizontal="left"/>
      <protection/>
    </xf>
    <xf numFmtId="0" fontId="23" fillId="4" borderId="59" xfId="0" applyFont="1" applyFill="1" applyBorder="1" applyAlignment="1" applyProtection="1">
      <alignment/>
      <protection/>
    </xf>
    <xf numFmtId="0" fontId="47" fillId="19" borderId="58" xfId="15" applyFont="1" applyFill="1" applyBorder="1" applyAlignment="1" applyProtection="1">
      <alignment/>
      <protection/>
    </xf>
    <xf numFmtId="0" fontId="46" fillId="4" borderId="57" xfId="0" applyFont="1" applyFill="1" applyBorder="1" applyAlignment="1" applyProtection="1">
      <alignment/>
      <protection/>
    </xf>
    <xf numFmtId="0" fontId="46" fillId="19" borderId="50" xfId="0" applyFont="1" applyFill="1" applyBorder="1" applyAlignment="1" applyProtection="1">
      <alignment/>
      <protection/>
    </xf>
    <xf numFmtId="0" fontId="46" fillId="4" borderId="55" xfId="0" applyFont="1" applyFill="1" applyBorder="1" applyAlignment="1" applyProtection="1">
      <alignment/>
      <protection/>
    </xf>
    <xf numFmtId="0" fontId="46" fillId="4" borderId="56" xfId="0" applyFont="1" applyFill="1" applyBorder="1" applyAlignment="1" applyProtection="1">
      <alignment/>
      <protection/>
    </xf>
    <xf numFmtId="0" fontId="47" fillId="19" borderId="50" xfId="15" applyFont="1" applyFill="1" applyBorder="1" applyAlignment="1" applyProtection="1">
      <alignment/>
      <protection/>
    </xf>
    <xf numFmtId="0" fontId="45" fillId="19" borderId="50" xfId="15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8" fillId="21" borderId="60" xfId="0" applyFont="1" applyFill="1" applyBorder="1" applyAlignment="1" applyProtection="1">
      <alignment/>
      <protection/>
    </xf>
    <xf numFmtId="0" fontId="68" fillId="20" borderId="49" xfId="0" applyFont="1" applyFill="1" applyBorder="1" applyAlignment="1" applyProtection="1">
      <alignment/>
      <protection/>
    </xf>
    <xf numFmtId="0" fontId="48" fillId="20" borderId="55" xfId="0" applyFont="1" applyFill="1" applyBorder="1" applyAlignment="1" applyProtection="1">
      <alignment/>
      <protection/>
    </xf>
    <xf numFmtId="0" fontId="68" fillId="21" borderId="50" xfId="0" applyFont="1" applyFill="1" applyBorder="1" applyAlignment="1" applyProtection="1">
      <alignment/>
      <protection/>
    </xf>
    <xf numFmtId="0" fontId="68" fillId="20" borderId="0" xfId="0" applyFont="1" applyFill="1" applyBorder="1" applyAlignment="1" applyProtection="1">
      <alignment/>
      <protection/>
    </xf>
    <xf numFmtId="0" fontId="48" fillId="20" borderId="56" xfId="0" applyFont="1" applyFill="1" applyBorder="1" applyAlignment="1" applyProtection="1">
      <alignment/>
      <protection/>
    </xf>
    <xf numFmtId="0" fontId="69" fillId="21" borderId="50" xfId="15" applyFont="1" applyFill="1" applyBorder="1" applyAlignment="1" applyProtection="1">
      <alignment/>
      <protection/>
    </xf>
    <xf numFmtId="0" fontId="69" fillId="21" borderId="58" xfId="15" applyFont="1" applyFill="1" applyBorder="1" applyAlignment="1" applyProtection="1">
      <alignment/>
      <protection/>
    </xf>
    <xf numFmtId="0" fontId="68" fillId="20" borderId="51" xfId="0" applyFont="1" applyFill="1" applyBorder="1" applyAlignment="1" applyProtection="1">
      <alignment/>
      <protection/>
    </xf>
    <xf numFmtId="0" fontId="68" fillId="20" borderId="57" xfId="0" applyFont="1" applyFill="1" applyBorder="1" applyAlignment="1" applyProtection="1">
      <alignment/>
      <protection/>
    </xf>
    <xf numFmtId="0" fontId="68" fillId="15" borderId="0" xfId="0" applyFont="1" applyFill="1" applyAlignment="1" applyProtection="1">
      <alignment/>
      <protection/>
    </xf>
    <xf numFmtId="2" fontId="0" fillId="20" borderId="0" xfId="0" applyNumberFormat="1" applyFill="1" applyBorder="1" applyAlignment="1" applyProtection="1">
      <alignment/>
      <protection/>
    </xf>
    <xf numFmtId="2" fontId="26" fillId="20" borderId="0" xfId="0" applyNumberFormat="1" applyFont="1" applyFill="1" applyBorder="1" applyAlignment="1" applyProtection="1">
      <alignment horizontal="left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NumberFormat="1" applyFill="1" applyBorder="1" applyAlignment="1" applyProtection="1">
      <alignment/>
      <protection/>
    </xf>
    <xf numFmtId="2" fontId="0" fillId="20" borderId="0" xfId="0" applyNumberFormat="1" applyFill="1" applyBorder="1" applyAlignment="1" applyProtection="1">
      <alignment horizontal="right"/>
      <protection/>
    </xf>
    <xf numFmtId="0" fontId="65" fillId="18" borderId="0" xfId="0" applyFont="1" applyFill="1" applyBorder="1" applyAlignment="1" applyProtection="1">
      <alignment horizontal="left"/>
      <protection/>
    </xf>
    <xf numFmtId="0" fontId="19" fillId="18" borderId="0" xfId="0" applyFont="1" applyFill="1" applyBorder="1" applyAlignment="1" applyProtection="1">
      <alignment horizontal="left"/>
      <protection/>
    </xf>
    <xf numFmtId="0" fontId="70" fillId="6" borderId="0" xfId="0" applyFont="1" applyFill="1" applyBorder="1" applyAlignment="1" applyProtection="1">
      <alignment/>
      <protection/>
    </xf>
    <xf numFmtId="0" fontId="53" fillId="6" borderId="0" xfId="0" applyFont="1" applyFill="1" applyBorder="1" applyAlignment="1" applyProtection="1">
      <alignment/>
      <protection/>
    </xf>
    <xf numFmtId="186" fontId="71" fillId="6" borderId="0" xfId="0" applyNumberFormat="1" applyFont="1" applyFill="1" applyBorder="1" applyAlignment="1" applyProtection="1">
      <alignment horizontal="left"/>
      <protection/>
    </xf>
    <xf numFmtId="10" fontId="71" fillId="6" borderId="0" xfId="21" applyNumberFormat="1" applyFont="1" applyFill="1" applyBorder="1" applyAlignment="1" applyProtection="1">
      <alignment horizontal="left"/>
      <protection/>
    </xf>
    <xf numFmtId="0" fontId="48" fillId="6" borderId="0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501"/>
        <xdr:cNvSpPr>
          <a:spLocks/>
        </xdr:cNvSpPr>
      </xdr:nvSpPr>
      <xdr:spPr>
        <a:xfrm>
          <a:off x="0" y="0"/>
          <a:ext cx="1976532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hyperlink" Target="mailto:victorhutt@victorhutt.com.ar" TargetMode="External" /><Relationship Id="rId5" Type="http://schemas.openxmlformats.org/officeDocument/2006/relationships/hyperlink" Target="http://www.porunagmerdetodos.com.ar/" TargetMode="External" /><Relationship Id="rId6" Type="http://schemas.openxmlformats.org/officeDocument/2006/relationships/hyperlink" Target="http://www.porunagmerdetodos.com.ar/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http://www.porunagmerdetodos.com.ar/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228"/>
  <sheetViews>
    <sheetView showGridLines="0" tabSelected="1" zoomScale="85" zoomScaleNormal="85" workbookViewId="0" topLeftCell="A34">
      <selection activeCell="A120" sqref="A120"/>
    </sheetView>
  </sheetViews>
  <sheetFormatPr defaultColWidth="11.421875" defaultRowHeight="12.75"/>
  <cols>
    <col min="1" max="1" width="13.7109375" style="10" customWidth="1"/>
    <col min="2" max="2" width="14.140625" style="10" customWidth="1"/>
    <col min="3" max="3" width="17.57421875" style="10" customWidth="1"/>
    <col min="4" max="4" width="23.57421875" style="10" customWidth="1"/>
    <col min="5" max="5" width="15.28125" style="10" customWidth="1"/>
    <col min="6" max="6" width="21.140625" style="10" customWidth="1"/>
    <col min="7" max="7" width="27.8515625" style="10" customWidth="1"/>
    <col min="8" max="8" width="23.57421875" style="10" customWidth="1"/>
    <col min="9" max="9" width="12.7109375" style="10" customWidth="1"/>
    <col min="10" max="10" width="22.8515625" style="10" customWidth="1"/>
    <col min="11" max="11" width="14.7109375" style="10" customWidth="1"/>
    <col min="12" max="12" width="21.00390625" style="10" customWidth="1"/>
    <col min="13" max="13" width="20.140625" style="10" customWidth="1"/>
    <col min="14" max="14" width="20.00390625" style="10" customWidth="1"/>
    <col min="15" max="15" width="21.57421875" style="10" customWidth="1"/>
    <col min="16" max="16" width="16.7109375" style="10" customWidth="1"/>
    <col min="17" max="17" width="15.8515625" style="10" customWidth="1"/>
    <col min="18" max="18" width="11.421875" style="10" customWidth="1"/>
    <col min="19" max="19" width="13.57421875" style="10" customWidth="1"/>
    <col min="20" max="20" width="11.421875" style="10" customWidth="1"/>
    <col min="21" max="21" width="16.00390625" style="10" bestFit="1" customWidth="1"/>
    <col min="22" max="24" width="11.421875" style="10" customWidth="1"/>
    <col min="25" max="25" width="13.28125" style="10" customWidth="1"/>
    <col min="26" max="16384" width="11.421875" style="10" customWidth="1"/>
  </cols>
  <sheetData>
    <row r="1" spans="1:7" ht="12.75">
      <c r="A1" s="359"/>
      <c r="B1" s="186"/>
      <c r="C1" s="186"/>
      <c r="D1" s="186"/>
      <c r="E1" s="186"/>
      <c r="F1" s="186"/>
      <c r="G1" s="186"/>
    </row>
    <row r="2" spans="1:11" ht="20.25">
      <c r="A2" s="2"/>
      <c r="B2" s="354"/>
      <c r="C2" s="416" t="s">
        <v>438</v>
      </c>
      <c r="D2" s="390"/>
      <c r="E2" s="390"/>
      <c r="F2" s="390"/>
      <c r="G2" s="423"/>
      <c r="H2" s="3"/>
      <c r="I2" s="4"/>
      <c r="J2" s="1"/>
      <c r="K2" s="2"/>
    </row>
    <row r="3" spans="1:11" ht="20.25">
      <c r="A3" s="2"/>
      <c r="B3" s="354"/>
      <c r="C3" s="416" t="s">
        <v>422</v>
      </c>
      <c r="D3" s="390"/>
      <c r="E3" s="390"/>
      <c r="F3" s="390"/>
      <c r="G3" s="355"/>
      <c r="H3" s="3"/>
      <c r="I3" s="4"/>
      <c r="J3" s="1"/>
      <c r="K3" s="2"/>
    </row>
    <row r="4" spans="1:11" ht="20.25">
      <c r="A4" s="2"/>
      <c r="B4" s="354"/>
      <c r="C4" s="417" t="s">
        <v>439</v>
      </c>
      <c r="D4" s="390"/>
      <c r="E4" s="390"/>
      <c r="F4" s="390"/>
      <c r="G4" s="355"/>
      <c r="H4" s="3"/>
      <c r="I4" s="4"/>
      <c r="J4" s="1"/>
      <c r="K4" s="2"/>
    </row>
    <row r="5" spans="1:11" ht="15">
      <c r="A5" s="2"/>
      <c r="B5" s="411"/>
      <c r="C5" s="412"/>
      <c r="D5" s="413"/>
      <c r="E5" s="414"/>
      <c r="F5" s="413"/>
      <c r="G5" s="415"/>
      <c r="H5" s="6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5"/>
      <c r="H6" s="1"/>
      <c r="I6" s="4"/>
      <c r="J6" s="1"/>
      <c r="K6" s="2"/>
    </row>
    <row r="7" spans="1:11" ht="18.75" thickBot="1">
      <c r="A7" s="2"/>
      <c r="B7" s="5"/>
      <c r="C7" s="51" t="s">
        <v>0</v>
      </c>
      <c r="D7" s="50" t="s">
        <v>1</v>
      </c>
      <c r="E7" s="52"/>
      <c r="F7" s="51" t="s">
        <v>0</v>
      </c>
      <c r="G7" s="46"/>
      <c r="H7" s="7"/>
      <c r="I7" s="4"/>
      <c r="J7" s="7"/>
      <c r="K7" s="2"/>
    </row>
    <row r="8" spans="1:11" ht="18">
      <c r="A8" s="2"/>
      <c r="B8" s="2"/>
      <c r="C8" s="2"/>
      <c r="D8" s="53" t="s">
        <v>351</v>
      </c>
      <c r="E8" s="54"/>
      <c r="F8" s="45"/>
      <c r="G8" s="45"/>
      <c r="H8" s="1"/>
      <c r="I8" s="2"/>
      <c r="J8" s="1"/>
      <c r="K8" s="2"/>
    </row>
    <row r="9" spans="1:11" ht="18">
      <c r="A9" s="2"/>
      <c r="B9" s="2"/>
      <c r="C9" s="2"/>
      <c r="D9" s="53" t="s">
        <v>2</v>
      </c>
      <c r="E9" s="54"/>
      <c r="F9" s="45"/>
      <c r="G9" s="45"/>
      <c r="H9" s="1"/>
      <c r="I9" s="2"/>
      <c r="J9" s="1"/>
      <c r="K9" s="2"/>
    </row>
    <row r="10" spans="1:11" ht="18.75" thickBot="1">
      <c r="A10" s="2"/>
      <c r="B10" s="1"/>
      <c r="C10" s="4"/>
      <c r="D10" s="53" t="s">
        <v>3</v>
      </c>
      <c r="E10" s="54"/>
      <c r="F10" s="45"/>
      <c r="G10" s="47"/>
      <c r="H10" s="8"/>
      <c r="I10" s="4"/>
      <c r="J10" s="7"/>
      <c r="K10" s="2"/>
    </row>
    <row r="11" spans="1:11" ht="18.75" thickBot="1">
      <c r="A11" s="2"/>
      <c r="B11" s="1"/>
      <c r="C11" s="51" t="s">
        <v>0</v>
      </c>
      <c r="D11" s="55" t="s">
        <v>363</v>
      </c>
      <c r="E11" s="56"/>
      <c r="F11" s="51" t="s">
        <v>0</v>
      </c>
      <c r="G11" s="13"/>
      <c r="H11" s="8"/>
      <c r="I11" s="4"/>
      <c r="J11" s="7"/>
      <c r="K11" s="2"/>
    </row>
    <row r="12" spans="1:11" ht="15.75">
      <c r="A12" s="2"/>
      <c r="B12" s="1"/>
      <c r="C12" s="1"/>
      <c r="D12" s="4"/>
      <c r="E12" s="57"/>
      <c r="F12" s="2"/>
      <c r="G12" s="1"/>
      <c r="H12" s="8"/>
      <c r="I12" s="4"/>
      <c r="J12" s="7"/>
      <c r="K12" s="2"/>
    </row>
    <row r="13" spans="1:11" ht="12.75">
      <c r="A13" s="2"/>
      <c r="B13" s="2"/>
      <c r="C13" s="2"/>
      <c r="D13" s="2"/>
      <c r="E13" s="2"/>
      <c r="F13" s="2"/>
      <c r="G13" s="9"/>
      <c r="H13" s="1"/>
      <c r="I13" s="9"/>
      <c r="J13" s="2"/>
      <c r="K13" s="2"/>
    </row>
    <row r="14" spans="1:7" s="11" customFormat="1" ht="13.5" thickBot="1">
      <c r="A14" s="58"/>
      <c r="B14" s="58"/>
      <c r="C14" s="58"/>
      <c r="D14" s="59"/>
      <c r="E14" s="60"/>
      <c r="F14" s="10"/>
      <c r="G14" s="10"/>
    </row>
    <row r="15" spans="1:255" s="11" customFormat="1" ht="24.75" thickBot="1" thickTop="1">
      <c r="A15" s="61" t="s">
        <v>4</v>
      </c>
      <c r="B15" s="62"/>
      <c r="C15" s="63" t="s">
        <v>5</v>
      </c>
      <c r="D15" s="64" t="s">
        <v>5</v>
      </c>
      <c r="E15" s="65" t="s">
        <v>5</v>
      </c>
      <c r="F15" s="10"/>
      <c r="G15" s="10"/>
      <c r="I15" s="66"/>
      <c r="K15" s="67"/>
      <c r="L15" s="68"/>
      <c r="M15" s="69"/>
      <c r="Q15" s="66"/>
      <c r="S15" s="67"/>
      <c r="T15" s="67"/>
      <c r="U15" s="67"/>
      <c r="V15" s="67"/>
      <c r="W15" s="67"/>
      <c r="X15" s="68"/>
      <c r="Y15" s="69"/>
      <c r="AC15" s="66"/>
      <c r="AE15" s="67"/>
      <c r="AF15" s="68"/>
      <c r="AG15" s="69"/>
      <c r="AK15" s="66"/>
      <c r="AM15" s="67"/>
      <c r="AN15" s="68"/>
      <c r="AO15" s="69"/>
      <c r="AS15" s="66"/>
      <c r="AU15" s="67"/>
      <c r="AV15" s="68"/>
      <c r="AW15" s="69"/>
      <c r="BA15" s="66"/>
      <c r="BC15" s="67"/>
      <c r="BD15" s="68"/>
      <c r="BE15" s="69"/>
      <c r="BI15" s="66"/>
      <c r="BK15" s="67"/>
      <c r="BL15" s="68"/>
      <c r="BM15" s="69"/>
      <c r="BQ15" s="66"/>
      <c r="BS15" s="67"/>
      <c r="BT15" s="68"/>
      <c r="BU15" s="69"/>
      <c r="BY15" s="66"/>
      <c r="CA15" s="67"/>
      <c r="CB15" s="68"/>
      <c r="CC15" s="69"/>
      <c r="CG15" s="66"/>
      <c r="CI15" s="67"/>
      <c r="CJ15" s="68"/>
      <c r="CK15" s="69"/>
      <c r="CO15" s="66"/>
      <c r="CQ15" s="67"/>
      <c r="CR15" s="68"/>
      <c r="CS15" s="69"/>
      <c r="CW15" s="66"/>
      <c r="CY15" s="67"/>
      <c r="CZ15" s="68"/>
      <c r="DA15" s="69"/>
      <c r="DE15" s="66"/>
      <c r="DG15" s="67"/>
      <c r="DH15" s="68"/>
      <c r="DI15" s="69"/>
      <c r="DM15" s="66"/>
      <c r="DO15" s="67"/>
      <c r="DP15" s="68"/>
      <c r="DQ15" s="69"/>
      <c r="DU15" s="66"/>
      <c r="DW15" s="67"/>
      <c r="DX15" s="68"/>
      <c r="DY15" s="69"/>
      <c r="EC15" s="66"/>
      <c r="EE15" s="67"/>
      <c r="EF15" s="68"/>
      <c r="EG15" s="69"/>
      <c r="EK15" s="66"/>
      <c r="EM15" s="67"/>
      <c r="EN15" s="68"/>
      <c r="EO15" s="69"/>
      <c r="ES15" s="66"/>
      <c r="EU15" s="67"/>
      <c r="EV15" s="68"/>
      <c r="EW15" s="69"/>
      <c r="FA15" s="66"/>
      <c r="FC15" s="67"/>
      <c r="FD15" s="68"/>
      <c r="FE15" s="69"/>
      <c r="FI15" s="66"/>
      <c r="FK15" s="67"/>
      <c r="FL15" s="68"/>
      <c r="FM15" s="69"/>
      <c r="FQ15" s="66"/>
      <c r="FS15" s="67"/>
      <c r="FT15" s="68"/>
      <c r="FU15" s="69"/>
      <c r="FY15" s="66"/>
      <c r="GA15" s="67"/>
      <c r="GB15" s="68"/>
      <c r="GC15" s="69"/>
      <c r="GG15" s="66"/>
      <c r="GI15" s="67"/>
      <c r="GJ15" s="68"/>
      <c r="GK15" s="69"/>
      <c r="GO15" s="66"/>
      <c r="GQ15" s="67"/>
      <c r="GR15" s="68"/>
      <c r="GS15" s="69"/>
      <c r="GW15" s="66"/>
      <c r="GY15" s="67"/>
      <c r="GZ15" s="68"/>
      <c r="HA15" s="69"/>
      <c r="HE15" s="66"/>
      <c r="HG15" s="67"/>
      <c r="HH15" s="68"/>
      <c r="HI15" s="69"/>
      <c r="HM15" s="66"/>
      <c r="HO15" s="67"/>
      <c r="HP15" s="68"/>
      <c r="HQ15" s="69"/>
      <c r="HU15" s="66"/>
      <c r="HW15" s="67"/>
      <c r="HX15" s="68"/>
      <c r="HY15" s="69"/>
      <c r="IC15" s="66"/>
      <c r="IE15" s="67"/>
      <c r="IF15" s="68"/>
      <c r="IG15" s="69"/>
      <c r="IK15" s="66"/>
      <c r="IM15" s="67"/>
      <c r="IN15" s="68"/>
      <c r="IO15" s="69"/>
      <c r="IS15" s="66"/>
      <c r="IU15" s="67"/>
    </row>
    <row r="16" spans="1:253" s="11" customFormat="1" ht="20.25">
      <c r="A16" s="70"/>
      <c r="B16" s="71"/>
      <c r="C16" s="71"/>
      <c r="D16" s="59"/>
      <c r="E16" s="60"/>
      <c r="F16" s="10"/>
      <c r="G16" s="10"/>
      <c r="I16" s="72"/>
      <c r="Q16" s="72"/>
      <c r="AC16" s="72"/>
      <c r="AK16" s="72"/>
      <c r="AS16" s="72"/>
      <c r="BA16" s="72"/>
      <c r="BI16" s="72"/>
      <c r="BQ16" s="72"/>
      <c r="BY16" s="72"/>
      <c r="CG16" s="72"/>
      <c r="CO16" s="72"/>
      <c r="CW16" s="72"/>
      <c r="DE16" s="72"/>
      <c r="DM16" s="72"/>
      <c r="DU16" s="72"/>
      <c r="EC16" s="72"/>
      <c r="EK16" s="72"/>
      <c r="ES16" s="72"/>
      <c r="FA16" s="72"/>
      <c r="FI16" s="72"/>
      <c r="FQ16" s="72"/>
      <c r="FY16" s="72"/>
      <c r="GG16" s="72"/>
      <c r="GO16" s="72"/>
      <c r="GW16" s="72"/>
      <c r="HE16" s="72"/>
      <c r="HM16" s="72"/>
      <c r="HU16" s="72"/>
      <c r="IC16" s="72"/>
      <c r="IK16" s="72"/>
      <c r="IS16" s="72"/>
    </row>
    <row r="17" spans="1:253" s="11" customFormat="1" ht="15">
      <c r="A17" s="73"/>
      <c r="B17" s="74"/>
      <c r="C17" s="74"/>
      <c r="D17" s="74"/>
      <c r="E17" s="74"/>
      <c r="F17" s="74"/>
      <c r="G17" s="74"/>
      <c r="I17" s="75"/>
      <c r="Q17" s="75"/>
      <c r="AC17" s="75"/>
      <c r="AK17" s="75"/>
      <c r="AS17" s="75"/>
      <c r="BA17" s="75"/>
      <c r="BI17" s="75"/>
      <c r="BQ17" s="75"/>
      <c r="BY17" s="75"/>
      <c r="CG17" s="75"/>
      <c r="CO17" s="75"/>
      <c r="CW17" s="75"/>
      <c r="DE17" s="75"/>
      <c r="DM17" s="75"/>
      <c r="DU17" s="75"/>
      <c r="EC17" s="75"/>
      <c r="EK17" s="75"/>
      <c r="ES17" s="75"/>
      <c r="FA17" s="75"/>
      <c r="FI17" s="75"/>
      <c r="FQ17" s="75"/>
      <c r="FY17" s="75"/>
      <c r="GG17" s="75"/>
      <c r="GO17" s="75"/>
      <c r="GW17" s="75"/>
      <c r="HE17" s="75"/>
      <c r="HM17" s="75"/>
      <c r="HU17" s="75"/>
      <c r="IC17" s="75"/>
      <c r="IK17" s="75"/>
      <c r="IS17" s="75"/>
    </row>
    <row r="18" spans="1:7" s="11" customFormat="1" ht="15">
      <c r="A18" s="76" t="s">
        <v>6</v>
      </c>
      <c r="B18" s="74"/>
      <c r="C18" s="74"/>
      <c r="D18" s="74"/>
      <c r="E18" s="74"/>
      <c r="F18" s="74"/>
      <c r="G18" s="74"/>
    </row>
    <row r="19" spans="1:7" s="11" customFormat="1" ht="14.25">
      <c r="A19" s="76"/>
      <c r="B19" s="74"/>
      <c r="C19" s="74"/>
      <c r="D19" s="74"/>
      <c r="E19" s="74"/>
      <c r="F19" s="74"/>
      <c r="G19" s="74"/>
    </row>
    <row r="20" spans="1:7" s="11" customFormat="1" ht="15">
      <c r="A20" s="76" t="s">
        <v>7</v>
      </c>
      <c r="B20" s="74"/>
      <c r="C20" s="74"/>
      <c r="D20" s="74"/>
      <c r="E20" s="74"/>
      <c r="F20" s="74"/>
      <c r="G20" s="74"/>
    </row>
    <row r="21" spans="1:7" s="11" customFormat="1" ht="14.25">
      <c r="A21" s="76"/>
      <c r="B21" s="74"/>
      <c r="C21" s="74"/>
      <c r="D21" s="74"/>
      <c r="E21" s="74"/>
      <c r="F21" s="74"/>
      <c r="G21" s="74"/>
    </row>
    <row r="22" spans="1:7" s="11" customFormat="1" ht="14.25">
      <c r="A22" s="76" t="s">
        <v>369</v>
      </c>
      <c r="B22" s="74"/>
      <c r="C22" s="74"/>
      <c r="D22" s="74"/>
      <c r="E22" s="74"/>
      <c r="F22" s="74"/>
      <c r="G22" s="74"/>
    </row>
    <row r="23" spans="1:7" s="11" customFormat="1" ht="14.25">
      <c r="A23" s="76" t="s">
        <v>368</v>
      </c>
      <c r="B23" s="74"/>
      <c r="C23" s="74"/>
      <c r="D23" s="74"/>
      <c r="E23" s="74"/>
      <c r="F23" s="74"/>
      <c r="G23" s="74"/>
    </row>
    <row r="24" spans="1:7" s="11" customFormat="1" ht="14.25">
      <c r="A24" s="76"/>
      <c r="B24" s="74"/>
      <c r="C24" s="74"/>
      <c r="D24" s="74"/>
      <c r="E24" s="74"/>
      <c r="F24" s="74"/>
      <c r="G24" s="74"/>
    </row>
    <row r="25" spans="1:7" s="11" customFormat="1" ht="14.25">
      <c r="A25" s="76" t="s">
        <v>352</v>
      </c>
      <c r="B25" s="74"/>
      <c r="C25" s="74"/>
      <c r="D25" s="74"/>
      <c r="E25" s="74"/>
      <c r="F25" s="74"/>
      <c r="G25" s="74"/>
    </row>
    <row r="26" spans="1:7" s="11" customFormat="1" ht="14.25">
      <c r="A26" s="76" t="s">
        <v>353</v>
      </c>
      <c r="B26" s="74"/>
      <c r="C26" s="74"/>
      <c r="D26" s="74"/>
      <c r="E26" s="74"/>
      <c r="F26" s="74"/>
      <c r="G26" s="74"/>
    </row>
    <row r="27" spans="1:7" s="11" customFormat="1" ht="14.25">
      <c r="A27" s="76"/>
      <c r="B27" s="74"/>
      <c r="C27" s="74"/>
      <c r="D27" s="74"/>
      <c r="E27" s="74"/>
      <c r="F27" s="74"/>
      <c r="G27" s="74"/>
    </row>
    <row r="28" spans="1:7" s="11" customFormat="1" ht="14.25">
      <c r="A28" s="76" t="s">
        <v>354</v>
      </c>
      <c r="B28" s="74"/>
      <c r="C28" s="74"/>
      <c r="D28" s="74"/>
      <c r="E28" s="74"/>
      <c r="F28" s="74"/>
      <c r="G28" s="74"/>
    </row>
    <row r="29" spans="1:7" s="11" customFormat="1" ht="14.25">
      <c r="A29" s="76" t="s">
        <v>355</v>
      </c>
      <c r="B29" s="74"/>
      <c r="C29" s="74"/>
      <c r="D29" s="74"/>
      <c r="E29" s="74"/>
      <c r="F29" s="74"/>
      <c r="G29" s="74"/>
    </row>
    <row r="30" spans="1:7" s="11" customFormat="1" ht="14.25">
      <c r="A30" s="76" t="s">
        <v>356</v>
      </c>
      <c r="B30" s="74"/>
      <c r="C30" s="74"/>
      <c r="D30" s="74"/>
      <c r="F30" s="74"/>
      <c r="G30" s="74"/>
    </row>
    <row r="31" spans="1:7" s="11" customFormat="1" ht="15.75">
      <c r="A31" s="76"/>
      <c r="B31" s="77" t="s">
        <v>357</v>
      </c>
      <c r="C31" s="74"/>
      <c r="D31" s="74"/>
      <c r="E31" s="77"/>
      <c r="F31" s="74"/>
      <c r="G31" s="74"/>
    </row>
    <row r="32" spans="1:7" s="11" customFormat="1" ht="15.75">
      <c r="A32" s="76"/>
      <c r="B32" s="77"/>
      <c r="C32" s="74"/>
      <c r="D32" s="74"/>
      <c r="E32" s="77"/>
      <c r="F32" s="74"/>
      <c r="G32" s="74"/>
    </row>
    <row r="33" spans="1:7" s="11" customFormat="1" ht="15.75">
      <c r="A33" s="76" t="s">
        <v>359</v>
      </c>
      <c r="B33" s="77"/>
      <c r="C33" s="74"/>
      <c r="D33" s="74"/>
      <c r="E33" s="77"/>
      <c r="F33" s="74"/>
      <c r="G33" s="74"/>
    </row>
    <row r="34" spans="1:7" s="11" customFormat="1" ht="15.75">
      <c r="A34" s="76" t="s">
        <v>423</v>
      </c>
      <c r="B34" s="77"/>
      <c r="C34" s="74"/>
      <c r="D34" s="74"/>
      <c r="E34" s="77"/>
      <c r="F34" s="74"/>
      <c r="G34" s="74"/>
    </row>
    <row r="35" spans="1:7" s="11" customFormat="1" ht="16.5" thickBot="1">
      <c r="A35" s="76" t="s">
        <v>424</v>
      </c>
      <c r="B35" s="77"/>
      <c r="C35" s="74"/>
      <c r="D35" s="74"/>
      <c r="E35" s="77"/>
      <c r="F35" s="74"/>
      <c r="G35" s="74"/>
    </row>
    <row r="36" spans="1:7" s="11" customFormat="1" ht="16.5" thickBot="1">
      <c r="A36" s="360" t="s">
        <v>358</v>
      </c>
      <c r="B36" s="361"/>
      <c r="C36" s="362"/>
      <c r="D36" s="363"/>
      <c r="E36" s="77"/>
      <c r="F36" s="74"/>
      <c r="G36" s="74"/>
    </row>
    <row r="37" spans="1:6" s="11" customFormat="1" ht="15.75">
      <c r="A37" s="76" t="s">
        <v>425</v>
      </c>
      <c r="B37" s="77"/>
      <c r="C37" s="74"/>
      <c r="D37" s="74"/>
      <c r="E37" s="77"/>
      <c r="F37" s="74"/>
    </row>
    <row r="38" spans="1:7" s="11" customFormat="1" ht="15.75">
      <c r="A38" s="76"/>
      <c r="B38" s="77"/>
      <c r="C38" s="74"/>
      <c r="D38" s="74"/>
      <c r="E38" s="77"/>
      <c r="F38" s="74"/>
      <c r="G38" s="74"/>
    </row>
    <row r="39" spans="1:7" s="11" customFormat="1" ht="14.25">
      <c r="A39" s="76" t="s">
        <v>8</v>
      </c>
      <c r="B39" s="74"/>
      <c r="C39" s="74"/>
      <c r="D39" s="74"/>
      <c r="E39" s="74"/>
      <c r="F39" s="74"/>
      <c r="G39" s="74"/>
    </row>
    <row r="40" spans="1:7" s="11" customFormat="1" ht="14.25">
      <c r="A40" s="76" t="s">
        <v>9</v>
      </c>
      <c r="B40" s="74"/>
      <c r="C40" s="74"/>
      <c r="D40" s="74"/>
      <c r="E40" s="74"/>
      <c r="F40" s="74"/>
      <c r="G40" s="74"/>
    </row>
    <row r="41" spans="1:7" s="11" customFormat="1" ht="14.25">
      <c r="A41" s="76" t="s">
        <v>10</v>
      </c>
      <c r="B41" s="74"/>
      <c r="C41" s="74"/>
      <c r="D41" s="74"/>
      <c r="E41" s="74"/>
      <c r="F41" s="74"/>
      <c r="G41" s="74"/>
    </row>
    <row r="42" spans="1:7" s="11" customFormat="1" ht="14.25">
      <c r="A42" s="76"/>
      <c r="B42" s="74"/>
      <c r="C42" s="74"/>
      <c r="D42" s="74"/>
      <c r="E42" s="74"/>
      <c r="F42" s="74"/>
      <c r="G42" s="74"/>
    </row>
    <row r="43" spans="1:7" s="11" customFormat="1" ht="14.25">
      <c r="A43" s="76" t="s">
        <v>440</v>
      </c>
      <c r="B43" s="74"/>
      <c r="C43" s="74"/>
      <c r="D43" s="74"/>
      <c r="E43" s="74"/>
      <c r="F43" s="74"/>
      <c r="G43" s="74"/>
    </row>
    <row r="44" spans="1:7" s="11" customFormat="1" ht="14.25">
      <c r="A44" s="76"/>
      <c r="B44" s="74"/>
      <c r="C44" s="74"/>
      <c r="D44" s="74"/>
      <c r="E44" s="74"/>
      <c r="F44" s="74"/>
      <c r="G44" s="74"/>
    </row>
    <row r="45" spans="1:7" s="11" customFormat="1" ht="14.25">
      <c r="A45" s="76"/>
      <c r="B45" s="74"/>
      <c r="C45" s="74"/>
      <c r="D45" s="74"/>
      <c r="E45" s="74"/>
      <c r="F45" s="74"/>
      <c r="G45" s="74"/>
    </row>
    <row r="46" spans="1:7" s="11" customFormat="1" ht="14.25">
      <c r="A46" s="76" t="s">
        <v>381</v>
      </c>
      <c r="B46" s="74"/>
      <c r="C46" s="74"/>
      <c r="D46" s="74"/>
      <c r="E46" s="74"/>
      <c r="F46" s="74"/>
      <c r="G46" s="74"/>
    </row>
    <row r="47" spans="1:7" s="11" customFormat="1" ht="14.25">
      <c r="A47" s="76"/>
      <c r="B47" s="74"/>
      <c r="C47" s="74"/>
      <c r="D47" s="74"/>
      <c r="E47" s="74"/>
      <c r="F47" s="74"/>
      <c r="G47" s="74"/>
    </row>
    <row r="48" spans="1:7" s="11" customFormat="1" ht="13.5" thickBot="1">
      <c r="A48" s="74"/>
      <c r="B48" s="74"/>
      <c r="C48" s="74"/>
      <c r="D48" s="74"/>
      <c r="E48" s="74"/>
      <c r="F48" s="74"/>
      <c r="G48" s="74"/>
    </row>
    <row r="49" s="11" customFormat="1" ht="13.5" hidden="1" thickBot="1"/>
    <row r="50" spans="1:5" s="11" customFormat="1" ht="16.5" hidden="1" thickBot="1">
      <c r="A50" s="138" t="s">
        <v>415</v>
      </c>
      <c r="B50" s="139">
        <v>0.7012</v>
      </c>
      <c r="D50" s="138" t="s">
        <v>433</v>
      </c>
      <c r="E50" s="43">
        <v>0.747</v>
      </c>
    </row>
    <row r="51" spans="6:218" s="11" customFormat="1" ht="12.75" hidden="1">
      <c r="F51" s="78"/>
      <c r="J51" s="79"/>
      <c r="N51" s="78"/>
      <c r="R51" s="79"/>
      <c r="V51" s="78"/>
      <c r="Z51" s="79"/>
      <c r="AD51" s="78"/>
      <c r="AH51" s="79"/>
      <c r="AL51" s="78"/>
      <c r="AP51" s="79"/>
      <c r="AT51" s="78"/>
      <c r="AX51" s="79"/>
      <c r="BB51" s="78"/>
      <c r="BF51" s="79"/>
      <c r="BJ51" s="78"/>
      <c r="BN51" s="79"/>
      <c r="BR51" s="78"/>
      <c r="BV51" s="79"/>
      <c r="BZ51" s="78"/>
      <c r="CD51" s="79"/>
      <c r="CH51" s="78"/>
      <c r="CL51" s="79"/>
      <c r="CP51" s="78"/>
      <c r="CT51" s="79"/>
      <c r="CX51" s="78"/>
      <c r="DB51" s="79"/>
      <c r="DF51" s="78"/>
      <c r="DJ51" s="79"/>
      <c r="DN51" s="78"/>
      <c r="DR51" s="79"/>
      <c r="DV51" s="78"/>
      <c r="DZ51" s="79"/>
      <c r="ED51" s="78"/>
      <c r="EH51" s="79"/>
      <c r="EL51" s="78"/>
      <c r="EP51" s="79"/>
      <c r="ET51" s="78"/>
      <c r="EX51" s="79"/>
      <c r="FB51" s="78"/>
      <c r="FF51" s="79"/>
      <c r="FJ51" s="78"/>
      <c r="FN51" s="79"/>
      <c r="FR51" s="78"/>
      <c r="FV51" s="79"/>
      <c r="FZ51" s="78"/>
      <c r="GD51" s="79"/>
      <c r="GH51" s="78"/>
      <c r="GL51" s="79"/>
      <c r="GP51" s="78"/>
      <c r="GT51" s="79"/>
      <c r="GX51" s="78"/>
      <c r="HB51" s="79"/>
      <c r="HF51" s="78"/>
      <c r="HJ51" s="79"/>
    </row>
    <row r="52" ht="12.75" hidden="1"/>
    <row r="53" ht="12.75" hidden="1"/>
    <row r="54" spans="1:5" ht="12.75" hidden="1">
      <c r="A54" s="142" t="s">
        <v>416</v>
      </c>
      <c r="B54" s="143">
        <v>0.857</v>
      </c>
      <c r="D54" s="142" t="s">
        <v>434</v>
      </c>
      <c r="E54" s="143">
        <v>0.913</v>
      </c>
    </row>
    <row r="55" ht="12.75" hidden="1"/>
    <row r="56" spans="1:9" ht="12.75" hidden="1">
      <c r="A56" s="13" t="s">
        <v>370</v>
      </c>
      <c r="B56" s="110">
        <v>1320</v>
      </c>
      <c r="E56" s="142" t="s">
        <v>417</v>
      </c>
      <c r="F56" s="144">
        <f>LOOKUP(D128,porant,cod06cargosdic08)</f>
        <v>730</v>
      </c>
      <c r="H56" s="142" t="s">
        <v>435</v>
      </c>
      <c r="I56" s="144">
        <f>LOOKUP(D128,porant,cod06cargosfeb09)</f>
        <v>770</v>
      </c>
    </row>
    <row r="57" ht="12.75" hidden="1">
      <c r="B57" s="43"/>
    </row>
    <row r="58" spans="1:2" ht="13.5" hidden="1" thickBot="1">
      <c r="A58" s="10" t="s">
        <v>371</v>
      </c>
      <c r="B58" s="43"/>
    </row>
    <row r="59" spans="1:2" ht="12.75" hidden="1">
      <c r="A59" s="140" t="s">
        <v>372</v>
      </c>
      <c r="B59" s="141">
        <v>0</v>
      </c>
    </row>
    <row r="60" spans="1:2" ht="15.75" hidden="1">
      <c r="A60" s="130" t="s">
        <v>373</v>
      </c>
      <c r="B60" s="145">
        <v>0</v>
      </c>
    </row>
    <row r="61" spans="1:6" ht="15.75" hidden="1">
      <c r="A61" s="130" t="s">
        <v>374</v>
      </c>
      <c r="B61" s="145">
        <v>8.1</v>
      </c>
      <c r="C61" s="130" t="s">
        <v>386</v>
      </c>
      <c r="D61" s="145">
        <v>9.4</v>
      </c>
      <c r="E61" s="130" t="s">
        <v>388</v>
      </c>
      <c r="F61" s="145">
        <v>9.4</v>
      </c>
    </row>
    <row r="62" spans="1:2" ht="13.5" hidden="1" thickBot="1">
      <c r="A62" s="146" t="s">
        <v>375</v>
      </c>
      <c r="B62" s="147">
        <v>0</v>
      </c>
    </row>
    <row r="63" ht="12.75" hidden="1">
      <c r="B63" s="43"/>
    </row>
    <row r="64" spans="1:2" ht="13.5" hidden="1" thickBot="1">
      <c r="A64" s="10" t="s">
        <v>376</v>
      </c>
      <c r="B64" s="43"/>
    </row>
    <row r="65" spans="1:2" ht="12.75" hidden="1">
      <c r="A65" s="140" t="s">
        <v>377</v>
      </c>
      <c r="B65" s="141">
        <v>0</v>
      </c>
    </row>
    <row r="66" spans="1:2" ht="15.75" hidden="1">
      <c r="A66" s="130" t="s">
        <v>378</v>
      </c>
      <c r="B66" s="145">
        <v>0</v>
      </c>
    </row>
    <row r="67" spans="1:6" ht="15.75" hidden="1">
      <c r="A67" s="130" t="s">
        <v>379</v>
      </c>
      <c r="B67" s="145">
        <v>8.1</v>
      </c>
      <c r="C67" s="130" t="s">
        <v>387</v>
      </c>
      <c r="D67" s="145">
        <v>9.4</v>
      </c>
      <c r="E67" s="130" t="s">
        <v>389</v>
      </c>
      <c r="F67" s="145">
        <v>9.4</v>
      </c>
    </row>
    <row r="68" spans="1:2" ht="13.5" hidden="1" thickBot="1">
      <c r="A68" s="146" t="s">
        <v>380</v>
      </c>
      <c r="B68" s="147">
        <v>0</v>
      </c>
    </row>
    <row r="69" spans="1:2" ht="15.75" hidden="1">
      <c r="A69" s="11"/>
      <c r="B69" s="204"/>
    </row>
    <row r="70" spans="1:2" ht="15.75" hidden="1">
      <c r="A70" s="11"/>
      <c r="B70" s="204"/>
    </row>
    <row r="71" spans="1:2" ht="15.75" hidden="1">
      <c r="A71" s="11"/>
      <c r="B71" s="204"/>
    </row>
    <row r="72" spans="1:26" ht="24" hidden="1" thickBot="1">
      <c r="A72" s="158"/>
      <c r="E72" s="322" t="s">
        <v>421</v>
      </c>
      <c r="N72" s="74"/>
      <c r="O72" s="74"/>
      <c r="Y72" s="11"/>
      <c r="Z72" s="204"/>
    </row>
    <row r="73" spans="1:26" ht="17.25" hidden="1" thickBot="1" thickTop="1">
      <c r="A73" s="158"/>
      <c r="C73" s="222" t="s">
        <v>398</v>
      </c>
      <c r="D73" s="10" t="s">
        <v>401</v>
      </c>
      <c r="E73" s="10" t="s">
        <v>402</v>
      </c>
      <c r="F73" s="133" t="s">
        <v>403</v>
      </c>
      <c r="G73" s="133" t="s">
        <v>404</v>
      </c>
      <c r="H73" s="133" t="s">
        <v>405</v>
      </c>
      <c r="I73" s="133" t="s">
        <v>406</v>
      </c>
      <c r="J73" s="133" t="s">
        <v>407</v>
      </c>
      <c r="K73" s="133" t="s">
        <v>408</v>
      </c>
      <c r="L73" s="148" t="s">
        <v>409</v>
      </c>
      <c r="M73" s="148">
        <v>1</v>
      </c>
      <c r="N73" s="148">
        <v>2</v>
      </c>
      <c r="O73" s="148">
        <v>3</v>
      </c>
      <c r="P73" s="148">
        <v>4</v>
      </c>
      <c r="Q73" s="148">
        <v>5</v>
      </c>
      <c r="Y73" s="11"/>
      <c r="Z73" s="204"/>
    </row>
    <row r="74" spans="1:26" ht="16.5" hidden="1" thickBot="1">
      <c r="A74" s="158"/>
      <c r="B74" s="223">
        <v>0</v>
      </c>
      <c r="C74" s="224">
        <f aca="true" t="shared" si="0" ref="C74:C85">IF(puntosproljor&lt;620,Q74,L74)</f>
        <v>180</v>
      </c>
      <c r="D74" s="134">
        <v>180</v>
      </c>
      <c r="E74" s="225">
        <v>80</v>
      </c>
      <c r="F74" s="149">
        <v>0</v>
      </c>
      <c r="G74" s="150">
        <v>0</v>
      </c>
      <c r="H74" s="151">
        <v>0</v>
      </c>
      <c r="I74" s="226">
        <v>0</v>
      </c>
      <c r="J74" s="227">
        <v>180</v>
      </c>
      <c r="K74" s="228">
        <v>80</v>
      </c>
      <c r="L74" s="152">
        <f aca="true" t="shared" si="1" ref="L74:L85">IF(PUNTOSbasicos&gt;971,K74,J74)</f>
        <v>180</v>
      </c>
      <c r="M74" s="152">
        <f aca="true" t="shared" si="2" ref="M74:M85">IF(PUNTOSbasicos&lt;972,D74,E74)</f>
        <v>180</v>
      </c>
      <c r="N74" s="152">
        <f aca="true" t="shared" si="3" ref="N74:N85">IF(PUNTOSbasicos&lt;1170,M74,F74)</f>
        <v>180</v>
      </c>
      <c r="O74" s="152">
        <f aca="true" t="shared" si="4" ref="O74:O85">IF(PUNTOSbasicos&lt;1401,N74,G74)</f>
        <v>180</v>
      </c>
      <c r="P74" s="152">
        <f aca="true" t="shared" si="5" ref="P74:P85">IF(PUNTOSbasicos&lt;1943,O74,H74)</f>
        <v>180</v>
      </c>
      <c r="Q74" s="152">
        <f aca="true" t="shared" si="6" ref="Q74:Q85">IF(PUNTOSbasicos&lt;=2220,P74,I74)</f>
        <v>180</v>
      </c>
      <c r="Y74" s="11"/>
      <c r="Z74" s="204"/>
    </row>
    <row r="75" spans="1:26" ht="16.5" hidden="1" thickBot="1">
      <c r="A75" s="158"/>
      <c r="B75" s="229">
        <v>0.1</v>
      </c>
      <c r="C75" s="224">
        <f t="shared" si="0"/>
        <v>195</v>
      </c>
      <c r="D75" s="134">
        <v>195</v>
      </c>
      <c r="E75" s="230">
        <v>90</v>
      </c>
      <c r="F75" s="149">
        <v>0</v>
      </c>
      <c r="G75" s="150">
        <v>0</v>
      </c>
      <c r="H75" s="151">
        <v>0</v>
      </c>
      <c r="I75" s="226">
        <v>0</v>
      </c>
      <c r="J75" s="227">
        <v>195</v>
      </c>
      <c r="K75" s="228">
        <v>90</v>
      </c>
      <c r="L75" s="152">
        <f t="shared" si="1"/>
        <v>195</v>
      </c>
      <c r="M75" s="152">
        <f t="shared" si="2"/>
        <v>195</v>
      </c>
      <c r="N75" s="152">
        <f t="shared" si="3"/>
        <v>195</v>
      </c>
      <c r="O75" s="152">
        <f t="shared" si="4"/>
        <v>195</v>
      </c>
      <c r="P75" s="152">
        <f t="shared" si="5"/>
        <v>195</v>
      </c>
      <c r="Q75" s="152">
        <f t="shared" si="6"/>
        <v>195</v>
      </c>
      <c r="Y75" s="11"/>
      <c r="Z75" s="204"/>
    </row>
    <row r="76" spans="1:26" ht="16.5" hidden="1" thickBot="1">
      <c r="A76" s="158"/>
      <c r="B76" s="231">
        <v>0.15</v>
      </c>
      <c r="C76" s="224">
        <f t="shared" si="0"/>
        <v>290</v>
      </c>
      <c r="D76" s="134">
        <v>290</v>
      </c>
      <c r="E76" s="230">
        <v>180</v>
      </c>
      <c r="F76" s="153">
        <v>240</v>
      </c>
      <c r="G76" s="154">
        <v>193</v>
      </c>
      <c r="H76" s="155">
        <v>180</v>
      </c>
      <c r="I76" s="226">
        <v>0</v>
      </c>
      <c r="J76" s="227">
        <v>330</v>
      </c>
      <c r="K76" s="228">
        <v>220</v>
      </c>
      <c r="L76" s="152">
        <f t="shared" si="1"/>
        <v>330</v>
      </c>
      <c r="M76" s="152">
        <f t="shared" si="2"/>
        <v>290</v>
      </c>
      <c r="N76" s="152">
        <f t="shared" si="3"/>
        <v>290</v>
      </c>
      <c r="O76" s="152">
        <f t="shared" si="4"/>
        <v>290</v>
      </c>
      <c r="P76" s="152">
        <f t="shared" si="5"/>
        <v>290</v>
      </c>
      <c r="Q76" s="152">
        <f t="shared" si="6"/>
        <v>290</v>
      </c>
      <c r="Y76" s="11"/>
      <c r="Z76" s="204"/>
    </row>
    <row r="77" spans="1:26" ht="16.5" hidden="1" thickBot="1">
      <c r="A77" s="158"/>
      <c r="B77" s="231">
        <v>0.3</v>
      </c>
      <c r="C77" s="224">
        <f t="shared" si="0"/>
        <v>340</v>
      </c>
      <c r="D77" s="134">
        <v>340</v>
      </c>
      <c r="E77" s="230">
        <v>195</v>
      </c>
      <c r="F77" s="153">
        <v>240</v>
      </c>
      <c r="G77" s="154">
        <v>193</v>
      </c>
      <c r="H77" s="155">
        <v>180</v>
      </c>
      <c r="I77" s="226">
        <v>0</v>
      </c>
      <c r="J77" s="227">
        <v>495</v>
      </c>
      <c r="K77" s="228">
        <v>350</v>
      </c>
      <c r="L77" s="152">
        <f t="shared" si="1"/>
        <v>495</v>
      </c>
      <c r="M77" s="152">
        <f t="shared" si="2"/>
        <v>340</v>
      </c>
      <c r="N77" s="152">
        <f t="shared" si="3"/>
        <v>340</v>
      </c>
      <c r="O77" s="152">
        <f t="shared" si="4"/>
        <v>340</v>
      </c>
      <c r="P77" s="152">
        <f t="shared" si="5"/>
        <v>340</v>
      </c>
      <c r="Q77" s="152">
        <f t="shared" si="6"/>
        <v>340</v>
      </c>
      <c r="Y77" s="11"/>
      <c r="Z77" s="204"/>
    </row>
    <row r="78" spans="1:26" ht="16.5" hidden="1" thickBot="1">
      <c r="A78" s="158"/>
      <c r="B78" s="231">
        <v>0.4</v>
      </c>
      <c r="C78" s="224">
        <f t="shared" si="0"/>
        <v>370</v>
      </c>
      <c r="D78" s="134">
        <v>370</v>
      </c>
      <c r="E78" s="230">
        <v>210</v>
      </c>
      <c r="F78" s="153">
        <v>250</v>
      </c>
      <c r="G78" s="154">
        <v>200</v>
      </c>
      <c r="H78" s="155">
        <v>180</v>
      </c>
      <c r="I78" s="226">
        <v>140</v>
      </c>
      <c r="J78" s="227">
        <v>560</v>
      </c>
      <c r="K78" s="228">
        <v>400</v>
      </c>
      <c r="L78" s="152">
        <f t="shared" si="1"/>
        <v>560</v>
      </c>
      <c r="M78" s="152">
        <f t="shared" si="2"/>
        <v>370</v>
      </c>
      <c r="N78" s="152">
        <f t="shared" si="3"/>
        <v>370</v>
      </c>
      <c r="O78" s="152">
        <f t="shared" si="4"/>
        <v>370</v>
      </c>
      <c r="P78" s="152">
        <f t="shared" si="5"/>
        <v>370</v>
      </c>
      <c r="Q78" s="152">
        <f t="shared" si="6"/>
        <v>370</v>
      </c>
      <c r="Y78" s="11"/>
      <c r="Z78" s="204"/>
    </row>
    <row r="79" spans="1:26" ht="16.5" hidden="1" thickBot="1">
      <c r="A79" s="158"/>
      <c r="B79" s="231">
        <v>0.5</v>
      </c>
      <c r="C79" s="224">
        <f t="shared" si="0"/>
        <v>395</v>
      </c>
      <c r="D79" s="134">
        <v>395</v>
      </c>
      <c r="E79" s="230">
        <v>230</v>
      </c>
      <c r="F79" s="153">
        <v>250</v>
      </c>
      <c r="G79" s="137">
        <v>200</v>
      </c>
      <c r="H79" s="155">
        <v>180</v>
      </c>
      <c r="I79" s="226">
        <v>140</v>
      </c>
      <c r="J79" s="227">
        <v>600</v>
      </c>
      <c r="K79" s="228">
        <v>435</v>
      </c>
      <c r="L79" s="152">
        <f t="shared" si="1"/>
        <v>600</v>
      </c>
      <c r="M79" s="152">
        <f t="shared" si="2"/>
        <v>395</v>
      </c>
      <c r="N79" s="152">
        <f t="shared" si="3"/>
        <v>395</v>
      </c>
      <c r="O79" s="152">
        <f t="shared" si="4"/>
        <v>395</v>
      </c>
      <c r="P79" s="152">
        <f t="shared" si="5"/>
        <v>395</v>
      </c>
      <c r="Q79" s="152">
        <f t="shared" si="6"/>
        <v>395</v>
      </c>
      <c r="Y79" s="11"/>
      <c r="Z79" s="204"/>
    </row>
    <row r="80" spans="1:26" ht="16.5" hidden="1" thickBot="1">
      <c r="A80" s="158"/>
      <c r="B80" s="231">
        <v>0.6</v>
      </c>
      <c r="C80" s="224">
        <f t="shared" si="0"/>
        <v>455</v>
      </c>
      <c r="D80" s="134">
        <v>455</v>
      </c>
      <c r="E80" s="230">
        <v>260</v>
      </c>
      <c r="F80" s="153">
        <v>260</v>
      </c>
      <c r="G80" s="137">
        <v>203</v>
      </c>
      <c r="H80" s="155">
        <v>190</v>
      </c>
      <c r="I80" s="226">
        <v>160</v>
      </c>
      <c r="J80" s="227">
        <v>645</v>
      </c>
      <c r="K80" s="228">
        <v>450</v>
      </c>
      <c r="L80" s="152">
        <f t="shared" si="1"/>
        <v>645</v>
      </c>
      <c r="M80" s="152">
        <f t="shared" si="2"/>
        <v>455</v>
      </c>
      <c r="N80" s="152">
        <f t="shared" si="3"/>
        <v>455</v>
      </c>
      <c r="O80" s="152">
        <f t="shared" si="4"/>
        <v>455</v>
      </c>
      <c r="P80" s="152">
        <f t="shared" si="5"/>
        <v>455</v>
      </c>
      <c r="Q80" s="152">
        <f t="shared" si="6"/>
        <v>455</v>
      </c>
      <c r="Y80" s="11"/>
      <c r="Z80" s="204"/>
    </row>
    <row r="81" spans="1:26" ht="16.5" hidden="1" thickBot="1">
      <c r="A81" s="158"/>
      <c r="B81" s="231">
        <v>0.7</v>
      </c>
      <c r="C81" s="224">
        <f t="shared" si="0"/>
        <v>430</v>
      </c>
      <c r="D81" s="134">
        <v>430</v>
      </c>
      <c r="E81" s="230">
        <v>285</v>
      </c>
      <c r="F81" s="153">
        <v>365</v>
      </c>
      <c r="G81" s="137">
        <v>230</v>
      </c>
      <c r="H81" s="155">
        <v>190</v>
      </c>
      <c r="I81" s="226">
        <v>160</v>
      </c>
      <c r="J81" s="227">
        <v>610</v>
      </c>
      <c r="K81" s="228">
        <v>465</v>
      </c>
      <c r="L81" s="152">
        <f t="shared" si="1"/>
        <v>610</v>
      </c>
      <c r="M81" s="152">
        <f t="shared" si="2"/>
        <v>430</v>
      </c>
      <c r="N81" s="152">
        <f t="shared" si="3"/>
        <v>430</v>
      </c>
      <c r="O81" s="152">
        <f t="shared" si="4"/>
        <v>430</v>
      </c>
      <c r="P81" s="152">
        <f t="shared" si="5"/>
        <v>430</v>
      </c>
      <c r="Q81" s="152">
        <f t="shared" si="6"/>
        <v>430</v>
      </c>
      <c r="Y81" s="11"/>
      <c r="Z81" s="204"/>
    </row>
    <row r="82" spans="1:26" ht="16.5" hidden="1" thickBot="1">
      <c r="A82" s="158"/>
      <c r="B82" s="231">
        <v>0.8</v>
      </c>
      <c r="C82" s="224">
        <f t="shared" si="0"/>
        <v>515</v>
      </c>
      <c r="D82" s="134">
        <v>515</v>
      </c>
      <c r="E82" s="230">
        <v>345</v>
      </c>
      <c r="F82" s="136">
        <v>395</v>
      </c>
      <c r="G82" s="137">
        <v>340</v>
      </c>
      <c r="H82" s="156">
        <v>280</v>
      </c>
      <c r="I82" s="232">
        <v>180</v>
      </c>
      <c r="J82" s="227">
        <v>645</v>
      </c>
      <c r="K82" s="228">
        <v>475</v>
      </c>
      <c r="L82" s="152">
        <f t="shared" si="1"/>
        <v>645</v>
      </c>
      <c r="M82" s="152">
        <f t="shared" si="2"/>
        <v>515</v>
      </c>
      <c r="N82" s="152">
        <f t="shared" si="3"/>
        <v>515</v>
      </c>
      <c r="O82" s="152">
        <f t="shared" si="4"/>
        <v>515</v>
      </c>
      <c r="P82" s="152">
        <f t="shared" si="5"/>
        <v>515</v>
      </c>
      <c r="Q82" s="152">
        <f t="shared" si="6"/>
        <v>515</v>
      </c>
      <c r="Y82" s="11"/>
      <c r="Z82" s="204"/>
    </row>
    <row r="83" spans="1:26" ht="16.5" hidden="1" thickBot="1">
      <c r="A83" s="158"/>
      <c r="B83" s="231">
        <v>1</v>
      </c>
      <c r="C83" s="224">
        <f t="shared" si="0"/>
        <v>635</v>
      </c>
      <c r="D83" s="134">
        <v>635</v>
      </c>
      <c r="E83" s="230">
        <v>435</v>
      </c>
      <c r="F83" s="136">
        <v>410</v>
      </c>
      <c r="G83" s="137">
        <v>330</v>
      </c>
      <c r="H83" s="156">
        <v>310</v>
      </c>
      <c r="I83" s="232">
        <v>180</v>
      </c>
      <c r="J83" s="227">
        <v>690</v>
      </c>
      <c r="K83" s="228">
        <v>490</v>
      </c>
      <c r="L83" s="152">
        <f t="shared" si="1"/>
        <v>690</v>
      </c>
      <c r="M83" s="152">
        <f t="shared" si="2"/>
        <v>635</v>
      </c>
      <c r="N83" s="152">
        <f t="shared" si="3"/>
        <v>635</v>
      </c>
      <c r="O83" s="152">
        <f t="shared" si="4"/>
        <v>635</v>
      </c>
      <c r="P83" s="152">
        <f t="shared" si="5"/>
        <v>635</v>
      </c>
      <c r="Q83" s="152">
        <f t="shared" si="6"/>
        <v>635</v>
      </c>
      <c r="Y83" s="11"/>
      <c r="Z83" s="204"/>
    </row>
    <row r="84" spans="1:26" ht="16.5" hidden="1" thickBot="1">
      <c r="A84" s="158"/>
      <c r="B84" s="231">
        <v>1.1</v>
      </c>
      <c r="C84" s="224">
        <f t="shared" si="0"/>
        <v>710</v>
      </c>
      <c r="D84" s="134">
        <v>710</v>
      </c>
      <c r="E84" s="230">
        <v>495</v>
      </c>
      <c r="F84" s="136">
        <v>430</v>
      </c>
      <c r="G84" s="137">
        <v>330</v>
      </c>
      <c r="H84" s="156">
        <v>320</v>
      </c>
      <c r="I84" s="232">
        <v>190</v>
      </c>
      <c r="J84" s="227">
        <v>720</v>
      </c>
      <c r="K84" s="228">
        <v>505</v>
      </c>
      <c r="L84" s="152">
        <f t="shared" si="1"/>
        <v>720</v>
      </c>
      <c r="M84" s="152">
        <f t="shared" si="2"/>
        <v>710</v>
      </c>
      <c r="N84" s="152">
        <f t="shared" si="3"/>
        <v>710</v>
      </c>
      <c r="O84" s="152">
        <f t="shared" si="4"/>
        <v>710</v>
      </c>
      <c r="P84" s="152">
        <f t="shared" si="5"/>
        <v>710</v>
      </c>
      <c r="Q84" s="152">
        <f t="shared" si="6"/>
        <v>710</v>
      </c>
      <c r="Y84" s="11"/>
      <c r="Z84" s="204"/>
    </row>
    <row r="85" spans="1:26" ht="16.5" hidden="1" thickBot="1">
      <c r="A85" s="158"/>
      <c r="B85" s="233">
        <v>1.2</v>
      </c>
      <c r="C85" s="234">
        <f t="shared" si="0"/>
        <v>730</v>
      </c>
      <c r="D85" s="134">
        <v>730</v>
      </c>
      <c r="E85" s="230">
        <v>510</v>
      </c>
      <c r="F85" s="136">
        <v>480</v>
      </c>
      <c r="G85" s="137">
        <v>335</v>
      </c>
      <c r="H85" s="156">
        <v>330</v>
      </c>
      <c r="I85" s="232">
        <v>190</v>
      </c>
      <c r="J85" s="227">
        <v>730</v>
      </c>
      <c r="K85" s="228">
        <v>510</v>
      </c>
      <c r="L85" s="152">
        <f t="shared" si="1"/>
        <v>730</v>
      </c>
      <c r="M85" s="152">
        <f t="shared" si="2"/>
        <v>730</v>
      </c>
      <c r="N85" s="152">
        <f t="shared" si="3"/>
        <v>730</v>
      </c>
      <c r="O85" s="152">
        <f t="shared" si="4"/>
        <v>730</v>
      </c>
      <c r="P85" s="152">
        <f t="shared" si="5"/>
        <v>730</v>
      </c>
      <c r="Q85" s="152">
        <f t="shared" si="6"/>
        <v>730</v>
      </c>
      <c r="Y85" s="11"/>
      <c r="Z85" s="204"/>
    </row>
    <row r="86" spans="1:26" ht="15.75" hidden="1">
      <c r="A86" s="158"/>
      <c r="B86" s="159"/>
      <c r="C86" s="160"/>
      <c r="D86" s="160"/>
      <c r="E86" s="160"/>
      <c r="F86" s="160"/>
      <c r="G86" s="159"/>
      <c r="H86" s="160"/>
      <c r="I86" s="2"/>
      <c r="J86" s="2"/>
      <c r="K86" s="2"/>
      <c r="Y86" s="11"/>
      <c r="Z86" s="204"/>
    </row>
    <row r="87" spans="1:15" ht="25.5" customHeight="1" hidden="1" thickBot="1">
      <c r="A87" s="9"/>
      <c r="E87" s="322" t="s">
        <v>431</v>
      </c>
      <c r="N87" s="74"/>
      <c r="O87" s="74"/>
    </row>
    <row r="88" spans="1:17" ht="12" customHeight="1" hidden="1" thickBot="1" thickTop="1">
      <c r="A88" s="9"/>
      <c r="C88" s="222" t="s">
        <v>398</v>
      </c>
      <c r="D88" s="10" t="s">
        <v>401</v>
      </c>
      <c r="E88" s="10" t="s">
        <v>402</v>
      </c>
      <c r="F88" s="133" t="s">
        <v>403</v>
      </c>
      <c r="G88" s="133" t="s">
        <v>404</v>
      </c>
      <c r="H88" s="133" t="s">
        <v>405</v>
      </c>
      <c r="I88" s="133" t="s">
        <v>406</v>
      </c>
      <c r="J88" s="133" t="s">
        <v>407</v>
      </c>
      <c r="K88" s="133" t="s">
        <v>408</v>
      </c>
      <c r="L88" s="148" t="s">
        <v>409</v>
      </c>
      <c r="M88" s="148">
        <v>1</v>
      </c>
      <c r="N88" s="148">
        <v>2</v>
      </c>
      <c r="O88" s="148">
        <v>3</v>
      </c>
      <c r="P88" s="148">
        <v>4</v>
      </c>
      <c r="Q88" s="148">
        <v>5</v>
      </c>
    </row>
    <row r="89" spans="1:17" ht="12" customHeight="1" hidden="1" thickBot="1">
      <c r="A89" s="9"/>
      <c r="B89" s="223">
        <v>0</v>
      </c>
      <c r="C89" s="224">
        <f aca="true" t="shared" si="7" ref="C89:C100">IF(puntosproljor&lt;620,Q89,L89)</f>
        <v>233</v>
      </c>
      <c r="D89" s="134">
        <v>233</v>
      </c>
      <c r="E89" s="225">
        <v>80</v>
      </c>
      <c r="F89" s="149">
        <v>0</v>
      </c>
      <c r="G89" s="150">
        <v>0</v>
      </c>
      <c r="H89" s="151">
        <v>0</v>
      </c>
      <c r="I89" s="226">
        <v>0</v>
      </c>
      <c r="J89" s="227">
        <v>180</v>
      </c>
      <c r="K89" s="228">
        <v>80</v>
      </c>
      <c r="L89" s="152">
        <f aca="true" t="shared" si="8" ref="L89:L100">IF(PUNTOSbasicos&gt;971,K89,J89)</f>
        <v>180</v>
      </c>
      <c r="M89" s="152">
        <f aca="true" t="shared" si="9" ref="M89:M100">IF(PUNTOSbasicos&lt;972,D89,E89)</f>
        <v>233</v>
      </c>
      <c r="N89" s="152">
        <f aca="true" t="shared" si="10" ref="N89:N100">IF(PUNTOSbasicos&lt;1170,M89,F89)</f>
        <v>233</v>
      </c>
      <c r="O89" s="152">
        <f aca="true" t="shared" si="11" ref="O89:O100">IF(PUNTOSbasicos&lt;1401,N89,G89)</f>
        <v>233</v>
      </c>
      <c r="P89" s="152">
        <f aca="true" t="shared" si="12" ref="P89:P100">IF(PUNTOSbasicos&lt;1943,O89,H89)</f>
        <v>233</v>
      </c>
      <c r="Q89" s="152">
        <f aca="true" t="shared" si="13" ref="Q89:Q100">IF(PUNTOSbasicos&lt;=2220,P89,I89)</f>
        <v>233</v>
      </c>
    </row>
    <row r="90" spans="1:17" ht="12" customHeight="1" hidden="1" thickBot="1">
      <c r="A90" s="9"/>
      <c r="B90" s="229">
        <v>0.1</v>
      </c>
      <c r="C90" s="224">
        <f t="shared" si="7"/>
        <v>250</v>
      </c>
      <c r="D90" s="134">
        <v>250</v>
      </c>
      <c r="E90" s="230">
        <v>90</v>
      </c>
      <c r="F90" s="149">
        <v>0</v>
      </c>
      <c r="G90" s="150">
        <v>0</v>
      </c>
      <c r="H90" s="151">
        <v>0</v>
      </c>
      <c r="I90" s="226">
        <v>0</v>
      </c>
      <c r="J90" s="227">
        <v>195</v>
      </c>
      <c r="K90" s="228">
        <v>90</v>
      </c>
      <c r="L90" s="152">
        <f t="shared" si="8"/>
        <v>195</v>
      </c>
      <c r="M90" s="152">
        <f t="shared" si="9"/>
        <v>250</v>
      </c>
      <c r="N90" s="152">
        <f t="shared" si="10"/>
        <v>250</v>
      </c>
      <c r="O90" s="152">
        <f t="shared" si="11"/>
        <v>250</v>
      </c>
      <c r="P90" s="152">
        <f t="shared" si="12"/>
        <v>250</v>
      </c>
      <c r="Q90" s="152">
        <f t="shared" si="13"/>
        <v>250</v>
      </c>
    </row>
    <row r="91" spans="1:17" ht="12" customHeight="1" hidden="1" thickBot="1">
      <c r="A91" s="9"/>
      <c r="B91" s="231">
        <v>0.15</v>
      </c>
      <c r="C91" s="224">
        <f t="shared" si="7"/>
        <v>350</v>
      </c>
      <c r="D91" s="134">
        <v>350</v>
      </c>
      <c r="E91" s="230">
        <v>180</v>
      </c>
      <c r="F91" s="153">
        <v>240</v>
      </c>
      <c r="G91" s="154">
        <v>193</v>
      </c>
      <c r="H91" s="155">
        <v>180</v>
      </c>
      <c r="I91" s="226">
        <v>0</v>
      </c>
      <c r="J91" s="227">
        <v>330</v>
      </c>
      <c r="K91" s="228">
        <v>220</v>
      </c>
      <c r="L91" s="152">
        <f t="shared" si="8"/>
        <v>330</v>
      </c>
      <c r="M91" s="152">
        <f t="shared" si="9"/>
        <v>350</v>
      </c>
      <c r="N91" s="152">
        <f t="shared" si="10"/>
        <v>350</v>
      </c>
      <c r="O91" s="152">
        <f t="shared" si="11"/>
        <v>350</v>
      </c>
      <c r="P91" s="152">
        <f t="shared" si="12"/>
        <v>350</v>
      </c>
      <c r="Q91" s="152">
        <f t="shared" si="13"/>
        <v>350</v>
      </c>
    </row>
    <row r="92" spans="1:17" ht="12" customHeight="1" hidden="1" thickBot="1">
      <c r="A92" s="9"/>
      <c r="B92" s="231">
        <v>0.3</v>
      </c>
      <c r="C92" s="224">
        <f t="shared" si="7"/>
        <v>405</v>
      </c>
      <c r="D92" s="134">
        <v>405</v>
      </c>
      <c r="E92" s="230">
        <v>195</v>
      </c>
      <c r="F92" s="153">
        <v>240</v>
      </c>
      <c r="G92" s="154">
        <v>193</v>
      </c>
      <c r="H92" s="155">
        <v>180</v>
      </c>
      <c r="I92" s="226">
        <v>0</v>
      </c>
      <c r="J92" s="227">
        <v>495</v>
      </c>
      <c r="K92" s="228">
        <v>350</v>
      </c>
      <c r="L92" s="152">
        <f t="shared" si="8"/>
        <v>495</v>
      </c>
      <c r="M92" s="152">
        <f t="shared" si="9"/>
        <v>405</v>
      </c>
      <c r="N92" s="152">
        <f t="shared" si="10"/>
        <v>405</v>
      </c>
      <c r="O92" s="152">
        <f t="shared" si="11"/>
        <v>405</v>
      </c>
      <c r="P92" s="152">
        <f t="shared" si="12"/>
        <v>405</v>
      </c>
      <c r="Q92" s="152">
        <f t="shared" si="13"/>
        <v>405</v>
      </c>
    </row>
    <row r="93" spans="1:17" ht="12" customHeight="1" hidden="1" thickBot="1">
      <c r="A93" s="9"/>
      <c r="B93" s="231">
        <v>0.4</v>
      </c>
      <c r="C93" s="224">
        <f t="shared" si="7"/>
        <v>440</v>
      </c>
      <c r="D93" s="134">
        <v>440</v>
      </c>
      <c r="E93" s="230">
        <v>210</v>
      </c>
      <c r="F93" s="153">
        <v>250</v>
      </c>
      <c r="G93" s="154">
        <v>200</v>
      </c>
      <c r="H93" s="155">
        <v>180</v>
      </c>
      <c r="I93" s="226">
        <v>140</v>
      </c>
      <c r="J93" s="227">
        <v>560</v>
      </c>
      <c r="K93" s="228">
        <v>400</v>
      </c>
      <c r="L93" s="152">
        <f t="shared" si="8"/>
        <v>560</v>
      </c>
      <c r="M93" s="152">
        <f t="shared" si="9"/>
        <v>440</v>
      </c>
      <c r="N93" s="152">
        <f t="shared" si="10"/>
        <v>440</v>
      </c>
      <c r="O93" s="152">
        <f t="shared" si="11"/>
        <v>440</v>
      </c>
      <c r="P93" s="152">
        <f t="shared" si="12"/>
        <v>440</v>
      </c>
      <c r="Q93" s="152">
        <f t="shared" si="13"/>
        <v>440</v>
      </c>
    </row>
    <row r="94" spans="1:17" ht="12" customHeight="1" hidden="1" thickBot="1">
      <c r="A94" s="9"/>
      <c r="B94" s="231">
        <v>0.5</v>
      </c>
      <c r="C94" s="224">
        <f t="shared" si="7"/>
        <v>455</v>
      </c>
      <c r="D94" s="134">
        <v>455</v>
      </c>
      <c r="E94" s="230">
        <v>230</v>
      </c>
      <c r="F94" s="153">
        <v>250</v>
      </c>
      <c r="G94" s="137">
        <v>200</v>
      </c>
      <c r="H94" s="155">
        <v>180</v>
      </c>
      <c r="I94" s="226">
        <v>140</v>
      </c>
      <c r="J94" s="227">
        <v>600</v>
      </c>
      <c r="K94" s="228">
        <v>435</v>
      </c>
      <c r="L94" s="152">
        <f t="shared" si="8"/>
        <v>600</v>
      </c>
      <c r="M94" s="152">
        <f t="shared" si="9"/>
        <v>455</v>
      </c>
      <c r="N94" s="152">
        <f t="shared" si="10"/>
        <v>455</v>
      </c>
      <c r="O94" s="152">
        <f t="shared" si="11"/>
        <v>455</v>
      </c>
      <c r="P94" s="152">
        <f t="shared" si="12"/>
        <v>455</v>
      </c>
      <c r="Q94" s="152">
        <f t="shared" si="13"/>
        <v>455</v>
      </c>
    </row>
    <row r="95" spans="1:17" ht="12" customHeight="1" hidden="1" thickBot="1">
      <c r="A95" s="9"/>
      <c r="B95" s="231">
        <v>0.6</v>
      </c>
      <c r="C95" s="224">
        <f t="shared" si="7"/>
        <v>465</v>
      </c>
      <c r="D95" s="134">
        <v>465</v>
      </c>
      <c r="E95" s="230">
        <v>260</v>
      </c>
      <c r="F95" s="153">
        <v>260</v>
      </c>
      <c r="G95" s="137">
        <v>203</v>
      </c>
      <c r="H95" s="155">
        <v>190</v>
      </c>
      <c r="I95" s="226">
        <v>160</v>
      </c>
      <c r="J95" s="227">
        <v>645</v>
      </c>
      <c r="K95" s="228">
        <v>450</v>
      </c>
      <c r="L95" s="152">
        <f t="shared" si="8"/>
        <v>645</v>
      </c>
      <c r="M95" s="152">
        <f t="shared" si="9"/>
        <v>465</v>
      </c>
      <c r="N95" s="152">
        <f t="shared" si="10"/>
        <v>465</v>
      </c>
      <c r="O95" s="152">
        <f t="shared" si="11"/>
        <v>465</v>
      </c>
      <c r="P95" s="152">
        <f t="shared" si="12"/>
        <v>465</v>
      </c>
      <c r="Q95" s="152">
        <f t="shared" si="13"/>
        <v>465</v>
      </c>
    </row>
    <row r="96" spans="1:17" ht="12" customHeight="1" hidden="1" thickBot="1">
      <c r="A96" s="9"/>
      <c r="B96" s="231">
        <v>0.7</v>
      </c>
      <c r="C96" s="224">
        <f t="shared" si="7"/>
        <v>445</v>
      </c>
      <c r="D96" s="134">
        <v>445</v>
      </c>
      <c r="E96" s="230">
        <v>285</v>
      </c>
      <c r="F96" s="153">
        <v>365</v>
      </c>
      <c r="G96" s="137">
        <v>230</v>
      </c>
      <c r="H96" s="155">
        <v>190</v>
      </c>
      <c r="I96" s="226">
        <v>160</v>
      </c>
      <c r="J96" s="227">
        <v>610</v>
      </c>
      <c r="K96" s="228">
        <v>465</v>
      </c>
      <c r="L96" s="152">
        <f t="shared" si="8"/>
        <v>610</v>
      </c>
      <c r="M96" s="152">
        <f t="shared" si="9"/>
        <v>445</v>
      </c>
      <c r="N96" s="152">
        <f t="shared" si="10"/>
        <v>445</v>
      </c>
      <c r="O96" s="152">
        <f t="shared" si="11"/>
        <v>445</v>
      </c>
      <c r="P96" s="152">
        <f t="shared" si="12"/>
        <v>445</v>
      </c>
      <c r="Q96" s="152">
        <f t="shared" si="13"/>
        <v>445</v>
      </c>
    </row>
    <row r="97" spans="1:17" ht="12" customHeight="1" hidden="1" thickBot="1">
      <c r="A97" s="9"/>
      <c r="B97" s="231">
        <v>0.8</v>
      </c>
      <c r="C97" s="224">
        <f t="shared" si="7"/>
        <v>535</v>
      </c>
      <c r="D97" s="134">
        <v>535</v>
      </c>
      <c r="E97" s="230">
        <v>345</v>
      </c>
      <c r="F97" s="136">
        <v>395</v>
      </c>
      <c r="G97" s="137">
        <v>340</v>
      </c>
      <c r="H97" s="156">
        <v>280</v>
      </c>
      <c r="I97" s="232">
        <v>180</v>
      </c>
      <c r="J97" s="227">
        <v>645</v>
      </c>
      <c r="K97" s="228">
        <v>475</v>
      </c>
      <c r="L97" s="152">
        <f t="shared" si="8"/>
        <v>645</v>
      </c>
      <c r="M97" s="152">
        <f t="shared" si="9"/>
        <v>535</v>
      </c>
      <c r="N97" s="152">
        <f t="shared" si="10"/>
        <v>535</v>
      </c>
      <c r="O97" s="152">
        <f t="shared" si="11"/>
        <v>535</v>
      </c>
      <c r="P97" s="152">
        <f t="shared" si="12"/>
        <v>535</v>
      </c>
      <c r="Q97" s="152">
        <f t="shared" si="13"/>
        <v>535</v>
      </c>
    </row>
    <row r="98" spans="1:17" ht="12" customHeight="1" hidden="1" thickBot="1">
      <c r="A98" s="9"/>
      <c r="B98" s="231">
        <v>1</v>
      </c>
      <c r="C98" s="224">
        <f t="shared" si="7"/>
        <v>665</v>
      </c>
      <c r="D98" s="134">
        <v>665</v>
      </c>
      <c r="E98" s="230">
        <v>435</v>
      </c>
      <c r="F98" s="136">
        <v>410</v>
      </c>
      <c r="G98" s="137">
        <v>330</v>
      </c>
      <c r="H98" s="156">
        <v>310</v>
      </c>
      <c r="I98" s="232">
        <v>180</v>
      </c>
      <c r="J98" s="227">
        <v>690</v>
      </c>
      <c r="K98" s="228">
        <v>490</v>
      </c>
      <c r="L98" s="152">
        <f t="shared" si="8"/>
        <v>690</v>
      </c>
      <c r="M98" s="152">
        <f t="shared" si="9"/>
        <v>665</v>
      </c>
      <c r="N98" s="152">
        <f t="shared" si="10"/>
        <v>665</v>
      </c>
      <c r="O98" s="152">
        <f t="shared" si="11"/>
        <v>665</v>
      </c>
      <c r="P98" s="152">
        <f t="shared" si="12"/>
        <v>665</v>
      </c>
      <c r="Q98" s="152">
        <f t="shared" si="13"/>
        <v>665</v>
      </c>
    </row>
    <row r="99" spans="1:17" ht="12" customHeight="1" hidden="1" thickBot="1">
      <c r="A99" s="9"/>
      <c r="B99" s="231">
        <v>1.1</v>
      </c>
      <c r="C99" s="224">
        <f t="shared" si="7"/>
        <v>745</v>
      </c>
      <c r="D99" s="134">
        <v>745</v>
      </c>
      <c r="E99" s="230">
        <v>495</v>
      </c>
      <c r="F99" s="136">
        <v>430</v>
      </c>
      <c r="G99" s="137">
        <v>330</v>
      </c>
      <c r="H99" s="156">
        <v>320</v>
      </c>
      <c r="I99" s="232">
        <v>190</v>
      </c>
      <c r="J99" s="227">
        <v>720</v>
      </c>
      <c r="K99" s="228">
        <v>505</v>
      </c>
      <c r="L99" s="152">
        <f t="shared" si="8"/>
        <v>720</v>
      </c>
      <c r="M99" s="152">
        <f t="shared" si="9"/>
        <v>745</v>
      </c>
      <c r="N99" s="152">
        <f t="shared" si="10"/>
        <v>745</v>
      </c>
      <c r="O99" s="152">
        <f t="shared" si="11"/>
        <v>745</v>
      </c>
      <c r="P99" s="152">
        <f t="shared" si="12"/>
        <v>745</v>
      </c>
      <c r="Q99" s="152">
        <f t="shared" si="13"/>
        <v>745</v>
      </c>
    </row>
    <row r="100" spans="1:17" ht="12" customHeight="1" hidden="1" thickBot="1">
      <c r="A100" s="9"/>
      <c r="B100" s="233">
        <v>1.2</v>
      </c>
      <c r="C100" s="234">
        <f t="shared" si="7"/>
        <v>770</v>
      </c>
      <c r="D100" s="134">
        <v>770</v>
      </c>
      <c r="E100" s="230">
        <v>510</v>
      </c>
      <c r="F100" s="136">
        <v>480</v>
      </c>
      <c r="G100" s="137">
        <v>335</v>
      </c>
      <c r="H100" s="156">
        <v>330</v>
      </c>
      <c r="I100" s="232">
        <v>190</v>
      </c>
      <c r="J100" s="227">
        <v>730</v>
      </c>
      <c r="K100" s="228">
        <v>510</v>
      </c>
      <c r="L100" s="152">
        <f t="shared" si="8"/>
        <v>730</v>
      </c>
      <c r="M100" s="152">
        <f t="shared" si="9"/>
        <v>770</v>
      </c>
      <c r="N100" s="152">
        <f t="shared" si="10"/>
        <v>770</v>
      </c>
      <c r="O100" s="152">
        <f t="shared" si="11"/>
        <v>770</v>
      </c>
      <c r="P100" s="152">
        <f t="shared" si="12"/>
        <v>770</v>
      </c>
      <c r="Q100" s="152">
        <f t="shared" si="13"/>
        <v>770</v>
      </c>
    </row>
    <row r="101" spans="1:26" ht="15.75" hidden="1">
      <c r="A101" s="158"/>
      <c r="B101" s="159"/>
      <c r="C101" s="160"/>
      <c r="D101" s="160"/>
      <c r="E101" s="160"/>
      <c r="F101" s="160"/>
      <c r="G101" s="159"/>
      <c r="H101" s="160"/>
      <c r="I101" s="2"/>
      <c r="J101" s="2"/>
      <c r="K101" s="2"/>
      <c r="Y101" s="11"/>
      <c r="Z101" s="204"/>
    </row>
    <row r="102" spans="1:26" ht="15.75" hidden="1">
      <c r="A102" s="158"/>
      <c r="B102" s="159"/>
      <c r="C102" s="160"/>
      <c r="D102" s="160"/>
      <c r="E102" s="160"/>
      <c r="F102" s="160"/>
      <c r="G102" s="159"/>
      <c r="H102" s="160"/>
      <c r="I102" s="2"/>
      <c r="J102" s="2"/>
      <c r="K102" s="2"/>
      <c r="Y102" s="11"/>
      <c r="Z102" s="204"/>
    </row>
    <row r="103" spans="1:26" ht="15.75" hidden="1">
      <c r="A103" s="158"/>
      <c r="B103" s="159"/>
      <c r="C103" s="160"/>
      <c r="D103" s="160"/>
      <c r="E103" s="160"/>
      <c r="F103" s="160"/>
      <c r="G103" s="159"/>
      <c r="H103" s="160"/>
      <c r="I103" s="2"/>
      <c r="J103" s="2"/>
      <c r="K103" s="2"/>
      <c r="Y103" s="11"/>
      <c r="Z103" s="204"/>
    </row>
    <row r="104" spans="1:26" ht="15.75" hidden="1">
      <c r="A104" s="158"/>
      <c r="B104" s="159"/>
      <c r="C104" s="160"/>
      <c r="D104" s="160"/>
      <c r="E104" s="160"/>
      <c r="F104" s="160"/>
      <c r="G104" s="159"/>
      <c r="H104" s="160"/>
      <c r="I104" s="2"/>
      <c r="J104" s="2"/>
      <c r="K104" s="2"/>
      <c r="Y104" s="11"/>
      <c r="Z104" s="204"/>
    </row>
    <row r="105" spans="1:26" ht="15.75" hidden="1">
      <c r="A105" s="158"/>
      <c r="B105" s="159"/>
      <c r="C105" s="160"/>
      <c r="D105" s="160"/>
      <c r="E105" s="160"/>
      <c r="F105" s="160"/>
      <c r="G105" s="159"/>
      <c r="H105" s="160"/>
      <c r="I105" s="2"/>
      <c r="J105" s="2"/>
      <c r="K105" s="2"/>
      <c r="Y105" s="11"/>
      <c r="Z105" s="204"/>
    </row>
    <row r="106" spans="1:26" ht="16.5" hidden="1" thickBot="1">
      <c r="A106" s="158"/>
      <c r="B106" s="159"/>
      <c r="C106" s="160"/>
      <c r="D106" s="160"/>
      <c r="E106" s="160"/>
      <c r="F106" s="160"/>
      <c r="G106" s="159"/>
      <c r="H106" s="160"/>
      <c r="I106" s="2"/>
      <c r="J106" s="2"/>
      <c r="K106" s="2"/>
      <c r="Y106" s="11"/>
      <c r="Z106" s="204"/>
    </row>
    <row r="107" spans="1:26" ht="17.25" thickBot="1" thickTop="1">
      <c r="A107" s="331"/>
      <c r="B107" s="391" t="s">
        <v>429</v>
      </c>
      <c r="C107" s="11"/>
      <c r="D107" s="11"/>
      <c r="E107" s="11"/>
      <c r="F107" s="11"/>
      <c r="G107" s="75"/>
      <c r="H107" s="11"/>
      <c r="I107" s="2"/>
      <c r="J107" s="2"/>
      <c r="K107" s="2"/>
      <c r="Y107" s="11"/>
      <c r="Z107" s="204"/>
    </row>
    <row r="108" spans="1:26" ht="16.5" thickTop="1">
      <c r="A108" s="74"/>
      <c r="B108" s="394" t="s">
        <v>11</v>
      </c>
      <c r="C108" s="324"/>
      <c r="D108" s="395"/>
      <c r="E108" s="11"/>
      <c r="F108" s="11"/>
      <c r="G108" s="75"/>
      <c r="H108" s="11"/>
      <c r="I108" s="2"/>
      <c r="J108" s="2"/>
      <c r="K108" s="2"/>
      <c r="Y108" s="11"/>
      <c r="Z108" s="204"/>
    </row>
    <row r="109" spans="1:26" ht="15.75">
      <c r="A109" s="74"/>
      <c r="B109" s="394" t="s">
        <v>418</v>
      </c>
      <c r="C109" s="326"/>
      <c r="D109" s="396"/>
      <c r="E109" s="11"/>
      <c r="F109" s="11"/>
      <c r="G109" s="75"/>
      <c r="H109" s="11"/>
      <c r="I109" s="2"/>
      <c r="J109" s="2"/>
      <c r="K109" s="2"/>
      <c r="Y109" s="11"/>
      <c r="Z109" s="204"/>
    </row>
    <row r="110" spans="1:26" ht="15.75">
      <c r="A110" s="74"/>
      <c r="B110" s="394" t="s">
        <v>12</v>
      </c>
      <c r="C110" s="326"/>
      <c r="D110" s="396"/>
      <c r="E110" s="11"/>
      <c r="F110" s="11"/>
      <c r="G110" s="75"/>
      <c r="H110" s="11"/>
      <c r="I110" s="2"/>
      <c r="J110" s="2"/>
      <c r="K110" s="2"/>
      <c r="Y110" s="11"/>
      <c r="Z110" s="204"/>
    </row>
    <row r="111" spans="1:26" ht="15.75">
      <c r="A111" s="74"/>
      <c r="B111" s="394" t="s">
        <v>360</v>
      </c>
      <c r="C111" s="326"/>
      <c r="D111" s="396"/>
      <c r="E111" s="11"/>
      <c r="F111" s="11"/>
      <c r="G111" s="75"/>
      <c r="H111" s="11"/>
      <c r="I111" s="2"/>
      <c r="J111" s="2"/>
      <c r="K111" s="2"/>
      <c r="Y111" s="11"/>
      <c r="Z111" s="204"/>
    </row>
    <row r="112" spans="1:26" ht="15.75">
      <c r="A112" s="74"/>
      <c r="B112" s="397" t="s">
        <v>382</v>
      </c>
      <c r="C112" s="326"/>
      <c r="D112" s="396"/>
      <c r="E112" s="11"/>
      <c r="F112" s="11"/>
      <c r="G112" s="75"/>
      <c r="H112" s="11"/>
      <c r="I112" s="2"/>
      <c r="J112" s="2"/>
      <c r="K112" s="2"/>
      <c r="Y112" s="11"/>
      <c r="Z112" s="204"/>
    </row>
    <row r="113" spans="1:26" ht="15.75">
      <c r="A113" s="74"/>
      <c r="B113" s="398" t="s">
        <v>361</v>
      </c>
      <c r="C113" s="326"/>
      <c r="D113" s="396"/>
      <c r="E113" s="11"/>
      <c r="F113" s="11"/>
      <c r="G113" s="75"/>
      <c r="H113" s="11"/>
      <c r="I113" s="2"/>
      <c r="J113" s="2"/>
      <c r="K113" s="2"/>
      <c r="Y113" s="11"/>
      <c r="Z113" s="204"/>
    </row>
    <row r="114" spans="1:26" ht="16.5" thickBot="1">
      <c r="A114" s="74"/>
      <c r="B114" s="392" t="s">
        <v>419</v>
      </c>
      <c r="C114" s="329"/>
      <c r="D114" s="393"/>
      <c r="E114" s="11"/>
      <c r="F114" s="11"/>
      <c r="G114" s="75"/>
      <c r="H114" s="11"/>
      <c r="I114" s="2"/>
      <c r="J114" s="2"/>
      <c r="K114" s="2"/>
      <c r="Y114" s="11"/>
      <c r="Z114" s="204"/>
    </row>
    <row r="115" spans="2:26" s="74" customFormat="1" ht="16.5" thickTop="1">
      <c r="B115" s="57"/>
      <c r="C115" s="135"/>
      <c r="D115" s="135"/>
      <c r="E115" s="11"/>
      <c r="F115" s="11"/>
      <c r="G115" s="75"/>
      <c r="H115" s="11"/>
      <c r="I115" s="11"/>
      <c r="J115" s="11"/>
      <c r="K115" s="11"/>
      <c r="Y115" s="11"/>
      <c r="Z115" s="204"/>
    </row>
    <row r="116" spans="1:26" ht="15.75">
      <c r="A116" s="331"/>
      <c r="B116" s="348"/>
      <c r="C116" s="349"/>
      <c r="D116" s="349"/>
      <c r="E116" s="349"/>
      <c r="F116" s="349"/>
      <c r="G116" s="75"/>
      <c r="H116" s="11"/>
      <c r="I116" s="2"/>
      <c r="J116" s="2"/>
      <c r="K116" s="2"/>
      <c r="Y116" s="11"/>
      <c r="Z116" s="204"/>
    </row>
    <row r="117" spans="1:26" ht="20.25">
      <c r="A117" s="11"/>
      <c r="B117" s="186"/>
      <c r="C117" s="341" t="s">
        <v>350</v>
      </c>
      <c r="D117" s="186"/>
      <c r="E117" s="186"/>
      <c r="F117" s="186"/>
      <c r="G117" s="74"/>
      <c r="H117" s="74"/>
      <c r="I117" s="2"/>
      <c r="J117" s="2"/>
      <c r="K117" s="2"/>
      <c r="Y117" s="11"/>
      <c r="Z117" s="204"/>
    </row>
    <row r="118" spans="1:26" ht="15.75">
      <c r="A118" s="11"/>
      <c r="B118" s="11"/>
      <c r="C118" s="11"/>
      <c r="D118" s="11"/>
      <c r="E118" s="11"/>
      <c r="F118" s="11"/>
      <c r="G118" s="75"/>
      <c r="H118" s="11"/>
      <c r="I118" s="2"/>
      <c r="J118" s="2"/>
      <c r="K118" s="2"/>
      <c r="Y118" s="11"/>
      <c r="Z118" s="204"/>
    </row>
    <row r="119" spans="1:26" ht="15.75">
      <c r="A119" s="100" t="s">
        <v>37</v>
      </c>
      <c r="B119" s="44" t="s">
        <v>341</v>
      </c>
      <c r="C119" s="44" t="s">
        <v>342</v>
      </c>
      <c r="D119" s="44" t="s">
        <v>343</v>
      </c>
      <c r="E119" s="44" t="s">
        <v>344</v>
      </c>
      <c r="F119" s="100" t="s">
        <v>410</v>
      </c>
      <c r="G119" s="75"/>
      <c r="H119" s="11"/>
      <c r="I119" s="2"/>
      <c r="J119" s="2"/>
      <c r="K119" s="2"/>
      <c r="Y119" s="11"/>
      <c r="Z119" s="204"/>
    </row>
    <row r="120" spans="1:26" ht="16.5" thickBot="1">
      <c r="A120" s="332">
        <v>739</v>
      </c>
      <c r="B120" s="81">
        <f>LOOKUP(A120,Cargos!A3:A314,Cargos!C3:C314)</f>
        <v>971</v>
      </c>
      <c r="C120" s="81">
        <f>LOOKUP(A120,Cargos!A3:A314,Cargos!E3:E314)</f>
        <v>150</v>
      </c>
      <c r="D120" s="81">
        <f>LOOKUP(A120,Cargos!A3:A314,Cargos!F3:F314)</f>
        <v>0</v>
      </c>
      <c r="E120" s="81">
        <f>LOOKUP(A120,Cargos!A3:A314,Cargos!G3:G314)</f>
        <v>0</v>
      </c>
      <c r="F120" s="44">
        <f>LOOKUP(A120,Cargos!A3:A314,puntoscompbasico)</f>
        <v>170</v>
      </c>
      <c r="G120" s="75"/>
      <c r="H120" s="11"/>
      <c r="I120" s="2"/>
      <c r="J120" s="2"/>
      <c r="K120" s="2"/>
      <c r="Y120" s="11"/>
      <c r="Z120" s="204"/>
    </row>
    <row r="121" spans="1:26" ht="16.5" thickBot="1">
      <c r="A121" s="333" t="s">
        <v>38</v>
      </c>
      <c r="B121" s="83" t="str">
        <f>LOOKUP(A120,Cargos!A3:A314,Cargos!B3:B314)</f>
        <v> MAESTRO DE GRADO DIFERENCIADO</v>
      </c>
      <c r="C121" s="42"/>
      <c r="D121" s="42"/>
      <c r="E121" s="62"/>
      <c r="F121" s="11"/>
      <c r="G121" s="75"/>
      <c r="H121" s="11"/>
      <c r="I121" s="2"/>
      <c r="J121" s="2"/>
      <c r="K121" s="2"/>
      <c r="Y121" s="11"/>
      <c r="Z121" s="204"/>
    </row>
    <row r="122" spans="1:26" ht="16.5" thickBot="1">
      <c r="A122" s="331"/>
      <c r="B122" s="75"/>
      <c r="C122" s="11"/>
      <c r="D122" s="11"/>
      <c r="E122" s="11"/>
      <c r="F122" s="128" t="s">
        <v>365</v>
      </c>
      <c r="G122" s="75"/>
      <c r="H122" s="11"/>
      <c r="I122" s="2"/>
      <c r="J122" s="2"/>
      <c r="K122" s="2"/>
      <c r="Y122" s="11"/>
      <c r="Z122" s="204"/>
    </row>
    <row r="123" spans="1:26" ht="17.25" thickBot="1" thickTop="1">
      <c r="A123" s="331"/>
      <c r="B123" s="121" t="s">
        <v>358</v>
      </c>
      <c r="C123" s="122"/>
      <c r="D123" s="122"/>
      <c r="E123" s="127">
        <v>120</v>
      </c>
      <c r="F123" s="129">
        <f>E123/120</f>
        <v>1</v>
      </c>
      <c r="G123" s="75"/>
      <c r="H123" s="11"/>
      <c r="I123" s="2"/>
      <c r="J123" s="2"/>
      <c r="K123" s="2"/>
      <c r="Y123" s="11"/>
      <c r="Z123" s="204"/>
    </row>
    <row r="124" spans="1:26" ht="17.25" thickBot="1" thickTop="1">
      <c r="A124" s="331"/>
      <c r="B124" s="75"/>
      <c r="C124" s="11"/>
      <c r="D124" s="11"/>
      <c r="E124" s="347"/>
      <c r="F124" s="11"/>
      <c r="G124" s="75"/>
      <c r="H124" s="11"/>
      <c r="I124" s="2"/>
      <c r="J124" s="2"/>
      <c r="K124" s="2"/>
      <c r="Y124" s="11"/>
      <c r="Z124" s="204"/>
    </row>
    <row r="125" spans="1:26" ht="17.25" thickBot="1" thickTop="1">
      <c r="A125" s="331"/>
      <c r="B125" s="120" t="s">
        <v>367</v>
      </c>
      <c r="C125" s="132">
        <v>0</v>
      </c>
      <c r="D125" s="11"/>
      <c r="E125" s="347"/>
      <c r="F125" s="11"/>
      <c r="G125" s="75"/>
      <c r="H125" s="11"/>
      <c r="I125" s="2"/>
      <c r="J125" s="2"/>
      <c r="K125" s="2"/>
      <c r="Y125" s="11"/>
      <c r="Z125" s="204"/>
    </row>
    <row r="126" spans="1:32" ht="16.5" thickTop="1">
      <c r="A126" s="331"/>
      <c r="B126" s="75"/>
      <c r="C126" s="11"/>
      <c r="D126" s="11"/>
      <c r="E126" s="11"/>
      <c r="F126" s="11"/>
      <c r="G126" s="75"/>
      <c r="H126" s="11"/>
      <c r="I126" s="11"/>
      <c r="J126" s="11"/>
      <c r="K126" s="11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1"/>
      <c r="Z126" s="204"/>
      <c r="AA126" s="74"/>
      <c r="AB126" s="74"/>
      <c r="AC126" s="74"/>
      <c r="AD126" s="74"/>
      <c r="AE126" s="74"/>
      <c r="AF126" s="74"/>
    </row>
    <row r="127" spans="1:32" ht="11.25" customHeight="1" thickBot="1">
      <c r="A127" s="331"/>
      <c r="B127" s="75"/>
      <c r="C127" s="11"/>
      <c r="D127" s="11"/>
      <c r="E127" s="11"/>
      <c r="F127" s="11"/>
      <c r="G127" s="75"/>
      <c r="H127" s="11"/>
      <c r="I127" s="11"/>
      <c r="J127" s="11"/>
      <c r="K127" s="11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11"/>
      <c r="Z127" s="204"/>
      <c r="AA127" s="74"/>
      <c r="AB127" s="74"/>
      <c r="AC127" s="74"/>
      <c r="AD127" s="74"/>
      <c r="AE127" s="74"/>
      <c r="AF127" s="74"/>
    </row>
    <row r="128" spans="1:32" ht="16.5" thickBot="1">
      <c r="A128" s="74"/>
      <c r="B128" s="181" t="s">
        <v>14</v>
      </c>
      <c r="C128" s="182"/>
      <c r="D128" s="183">
        <v>1.2</v>
      </c>
      <c r="E128" s="74" t="s">
        <v>15</v>
      </c>
      <c r="F128" s="74"/>
      <c r="G128" s="74"/>
      <c r="H128" s="74"/>
      <c r="I128" s="342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:32" ht="12" customHeight="1">
      <c r="A129" s="74"/>
      <c r="B129" s="11"/>
      <c r="C129" s="11"/>
      <c r="D129" s="343"/>
      <c r="E129" s="74"/>
      <c r="F129" s="74"/>
      <c r="G129" s="74"/>
      <c r="H129" s="74"/>
      <c r="I129" s="34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</row>
    <row r="130" spans="1:32" ht="18.75" thickBot="1">
      <c r="A130" s="74"/>
      <c r="B130" s="345" t="s">
        <v>16</v>
      </c>
      <c r="C130" s="345"/>
      <c r="D130" s="346">
        <f>B120</f>
        <v>971</v>
      </c>
      <c r="E130" s="74" t="s">
        <v>17</v>
      </c>
      <c r="F130" s="315" t="s">
        <v>414</v>
      </c>
      <c r="G130" s="342">
        <f>D120+E120</f>
        <v>0</v>
      </c>
      <c r="H130" s="1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1:32" ht="12.75" customHeight="1">
      <c r="A131" s="74"/>
      <c r="B131" s="11"/>
      <c r="C131" s="11"/>
      <c r="D131" s="343"/>
      <c r="E131" s="74"/>
      <c r="F131" s="74"/>
      <c r="G131" s="11"/>
      <c r="H131" s="262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</row>
    <row r="132" spans="1:9" ht="15.75">
      <c r="A132" s="74"/>
      <c r="B132" s="337" t="s">
        <v>420</v>
      </c>
      <c r="C132" s="74"/>
      <c r="D132" s="74"/>
      <c r="E132" s="74"/>
      <c r="F132" s="337" t="s">
        <v>432</v>
      </c>
      <c r="G132" s="74"/>
      <c r="H132" s="74"/>
      <c r="I132" s="74"/>
    </row>
    <row r="133" spans="1:9" ht="12.75" customHeight="1" thickBot="1">
      <c r="A133" s="74"/>
      <c r="B133" s="337"/>
      <c r="C133" s="74"/>
      <c r="D133" s="74"/>
      <c r="E133" s="74"/>
      <c r="F133" s="337"/>
      <c r="G133" s="74"/>
      <c r="H133" s="74"/>
      <c r="I133" s="74"/>
    </row>
    <row r="134" spans="1:8" ht="12.75">
      <c r="A134" s="74"/>
      <c r="B134" s="240">
        <v>400</v>
      </c>
      <c r="C134" s="241" t="s">
        <v>18</v>
      </c>
      <c r="D134" s="242">
        <f>punbasjub*indiceoct08*0.82*frac</f>
        <v>558.309464</v>
      </c>
      <c r="E134" s="205"/>
      <c r="F134" s="240">
        <v>400</v>
      </c>
      <c r="G134" s="241" t="s">
        <v>18</v>
      </c>
      <c r="H134" s="242">
        <f>punbasjub*indicefeb09*0.82*frac</f>
        <v>594.77634</v>
      </c>
    </row>
    <row r="135" spans="1:8" ht="12.75">
      <c r="A135" s="74"/>
      <c r="B135" s="17">
        <v>542</v>
      </c>
      <c r="C135" s="17" t="s">
        <v>430</v>
      </c>
      <c r="D135" s="244">
        <f>compbasico*indiceoct08*0.82*frac</f>
        <v>97.74728</v>
      </c>
      <c r="E135" s="205"/>
      <c r="F135" s="17">
        <v>542</v>
      </c>
      <c r="G135" s="17" t="s">
        <v>430</v>
      </c>
      <c r="H135" s="244">
        <f>compbasico*indicefeb09*0.82*frac</f>
        <v>104.13179999999998</v>
      </c>
    </row>
    <row r="136" spans="1:8" ht="12.75">
      <c r="A136" s="74"/>
      <c r="B136" s="243">
        <v>404</v>
      </c>
      <c r="C136" s="389" t="s">
        <v>346</v>
      </c>
      <c r="D136" s="244">
        <f>C120*indiceoct08*0.82*frac</f>
        <v>86.2476</v>
      </c>
      <c r="E136" s="205"/>
      <c r="F136" s="243">
        <v>404</v>
      </c>
      <c r="G136" s="389" t="s">
        <v>346</v>
      </c>
      <c r="H136" s="244">
        <f>C120*indicefeb09*0.82*frac</f>
        <v>91.88099999999999</v>
      </c>
    </row>
    <row r="137" spans="1:8" ht="12.75">
      <c r="A137" s="74"/>
      <c r="B137" s="243">
        <v>406</v>
      </c>
      <c r="C137" s="17" t="s">
        <v>19</v>
      </c>
      <c r="D137" s="244">
        <f>(D134+D135+D136+D139)*porcantigcargo</f>
        <v>890.7652128000001</v>
      </c>
      <c r="E137" s="205"/>
      <c r="F137" s="243">
        <v>406</v>
      </c>
      <c r="G137" s="17" t="s">
        <v>19</v>
      </c>
      <c r="H137" s="244">
        <f>(H134+H135+H136+H139)*porcantigcargo</f>
        <v>948.946968</v>
      </c>
    </row>
    <row r="138" spans="1:8" ht="12.75">
      <c r="A138" s="74"/>
      <c r="B138" s="243">
        <v>408</v>
      </c>
      <c r="C138" s="17" t="s">
        <v>366</v>
      </c>
      <c r="D138" s="244">
        <f>(D134+D135+D139)*porczona</f>
        <v>0</v>
      </c>
      <c r="E138" s="205"/>
      <c r="F138" s="243">
        <v>408</v>
      </c>
      <c r="G138" s="17" t="s">
        <v>366</v>
      </c>
      <c r="H138" s="244">
        <f>(H134+H135+H139)*porczona</f>
        <v>0</v>
      </c>
    </row>
    <row r="139" spans="1:8" ht="12.75">
      <c r="A139" s="74"/>
      <c r="B139" s="243">
        <v>416</v>
      </c>
      <c r="C139" s="90" t="s">
        <v>347</v>
      </c>
      <c r="D139" s="244">
        <f>puntosproljor*proljoroct08*0.82*frac</f>
        <v>0</v>
      </c>
      <c r="E139" s="205"/>
      <c r="F139" s="243">
        <v>416</v>
      </c>
      <c r="G139" s="90" t="s">
        <v>347</v>
      </c>
      <c r="H139" s="244">
        <f>puntosproljor*proljorfeb09*0.82*frac</f>
        <v>0</v>
      </c>
    </row>
    <row r="140" spans="1:8" ht="12.75">
      <c r="A140" s="334"/>
      <c r="B140" s="243">
        <v>432</v>
      </c>
      <c r="C140" s="17" t="s">
        <v>364</v>
      </c>
      <c r="D140" s="244">
        <f>cod06oct08*0.82*frac</f>
        <v>598.5999999999999</v>
      </c>
      <c r="E140" s="205"/>
      <c r="F140" s="243">
        <v>432</v>
      </c>
      <c r="G140" s="17" t="s">
        <v>364</v>
      </c>
      <c r="H140" s="244">
        <f>cod06feb09*0.82*frac</f>
        <v>631.4</v>
      </c>
    </row>
    <row r="141" spans="1:8" ht="12.75">
      <c r="A141" s="334"/>
      <c r="B141" s="243">
        <v>434</v>
      </c>
      <c r="C141" s="17" t="s">
        <v>345</v>
      </c>
      <c r="D141" s="244">
        <f>(D134+D136+D137+D139+D140+D138)*0.07*0.95</f>
        <v>141.9058314072</v>
      </c>
      <c r="E141" s="205"/>
      <c r="F141" s="243">
        <v>434</v>
      </c>
      <c r="G141" s="17" t="s">
        <v>345</v>
      </c>
      <c r="H141" s="244">
        <f>(H134+H136+H137+H139+H140+H138)*0.07*0.95</f>
        <v>150.75578648200002</v>
      </c>
    </row>
    <row r="142" spans="1:8" ht="13.5" thickBot="1">
      <c r="A142" s="334"/>
      <c r="B142" s="243"/>
      <c r="C142" s="91" t="s">
        <v>362</v>
      </c>
      <c r="D142" s="246">
        <f>0</f>
        <v>0</v>
      </c>
      <c r="E142" s="205"/>
      <c r="F142" s="243"/>
      <c r="G142" s="91" t="s">
        <v>362</v>
      </c>
      <c r="H142" s="246">
        <f>0</f>
        <v>0</v>
      </c>
    </row>
    <row r="143" spans="1:8" ht="16.5" thickBot="1">
      <c r="A143" s="334"/>
      <c r="B143" s="247"/>
      <c r="C143" s="93" t="s">
        <v>20</v>
      </c>
      <c r="D143" s="94">
        <f>SUM(D134:D142)</f>
        <v>2373.5753882072</v>
      </c>
      <c r="E143" s="210"/>
      <c r="F143" s="247"/>
      <c r="G143" s="93" t="s">
        <v>20</v>
      </c>
      <c r="H143" s="94">
        <f>SUM(H134:H142)</f>
        <v>2521.891894482</v>
      </c>
    </row>
    <row r="144" spans="1:8" ht="12.75">
      <c r="A144" s="334"/>
      <c r="B144" s="243">
        <v>703</v>
      </c>
      <c r="C144" s="95" t="s">
        <v>348</v>
      </c>
      <c r="D144" s="248">
        <f>(D143-D142)*0.0025</f>
        <v>5.933938470518</v>
      </c>
      <c r="E144" s="14"/>
      <c r="F144" s="243">
        <v>703</v>
      </c>
      <c r="G144" s="95" t="s">
        <v>348</v>
      </c>
      <c r="H144" s="248">
        <f>(H143-H142)*0.0025</f>
        <v>6.304729736205001</v>
      </c>
    </row>
    <row r="145" spans="1:8" ht="12.75">
      <c r="A145" s="74"/>
      <c r="B145" s="249">
        <v>707</v>
      </c>
      <c r="C145" s="97" t="s">
        <v>22</v>
      </c>
      <c r="D145" s="250">
        <f>(D143-D142)*0.03</f>
        <v>71.207261646216</v>
      </c>
      <c r="E145" s="14"/>
      <c r="F145" s="249">
        <v>707</v>
      </c>
      <c r="G145" s="97" t="s">
        <v>22</v>
      </c>
      <c r="H145" s="250">
        <f>(H143-H142)*0.03</f>
        <v>75.65675683446</v>
      </c>
    </row>
    <row r="146" spans="1:8" ht="12.75">
      <c r="A146" s="172"/>
      <c r="B146" s="249">
        <v>709</v>
      </c>
      <c r="C146" s="97" t="s">
        <v>23</v>
      </c>
      <c r="D146" s="250">
        <f>(D143-D142)*0.0213</f>
        <v>50.55715576881336</v>
      </c>
      <c r="E146" s="14"/>
      <c r="F146" s="249">
        <v>709</v>
      </c>
      <c r="G146" s="97" t="s">
        <v>23</v>
      </c>
      <c r="H146" s="250">
        <f>(H143-H142)*0.0213</f>
        <v>53.716297352466604</v>
      </c>
    </row>
    <row r="147" spans="1:8" ht="12.75">
      <c r="A147" s="172"/>
      <c r="B147" s="251">
        <v>710</v>
      </c>
      <c r="C147" s="97" t="s">
        <v>24</v>
      </c>
      <c r="D147" s="250">
        <f>(D143-D142)*0.00754</f>
        <v>17.896758427082286</v>
      </c>
      <c r="E147" s="14"/>
      <c r="F147" s="251">
        <v>710</v>
      </c>
      <c r="G147" s="97" t="s">
        <v>24</v>
      </c>
      <c r="H147" s="250">
        <f>(H143-H142)*0.00754</f>
        <v>19.01506488439428</v>
      </c>
    </row>
    <row r="148" spans="1:8" ht="12.75">
      <c r="A148" s="172"/>
      <c r="B148" s="251">
        <v>713</v>
      </c>
      <c r="C148" s="97" t="s">
        <v>25</v>
      </c>
      <c r="D148" s="250">
        <f>(D143-D142)*0.007</f>
        <v>16.6150277174504</v>
      </c>
      <c r="E148" s="14"/>
      <c r="F148" s="251">
        <v>713</v>
      </c>
      <c r="G148" s="97" t="s">
        <v>25</v>
      </c>
      <c r="H148" s="250">
        <f>(H143-H142)*0.007</f>
        <v>17.653243261374</v>
      </c>
    </row>
    <row r="149" spans="1:8" ht="13.5" thickBot="1">
      <c r="A149" s="173"/>
      <c r="B149" s="251"/>
      <c r="C149" s="98" t="s">
        <v>26</v>
      </c>
      <c r="D149" s="356">
        <v>0</v>
      </c>
      <c r="E149" s="14"/>
      <c r="F149" s="251"/>
      <c r="G149" s="98" t="s">
        <v>26</v>
      </c>
      <c r="H149" s="356">
        <v>0</v>
      </c>
    </row>
    <row r="150" spans="1:8" ht="16.5" thickBot="1">
      <c r="A150" s="334"/>
      <c r="B150" s="253"/>
      <c r="C150" s="93" t="s">
        <v>27</v>
      </c>
      <c r="D150" s="94">
        <f>SUM(D144:D149)</f>
        <v>162.21014203008005</v>
      </c>
      <c r="E150" s="14"/>
      <c r="F150" s="253"/>
      <c r="G150" s="93" t="s">
        <v>27</v>
      </c>
      <c r="H150" s="94">
        <f>SUM(H144:H149)</f>
        <v>172.3460920688999</v>
      </c>
    </row>
    <row r="151" spans="1:8" ht="13.5" thickBot="1">
      <c r="A151" s="334"/>
      <c r="B151" s="254"/>
      <c r="C151" s="101"/>
      <c r="D151" s="255"/>
      <c r="E151" s="14"/>
      <c r="F151" s="254"/>
      <c r="G151" s="101"/>
      <c r="H151" s="255"/>
    </row>
    <row r="152" spans="1:8" ht="16.5" thickBot="1">
      <c r="A152" s="74"/>
      <c r="B152" s="256"/>
      <c r="C152" s="104" t="s">
        <v>28</v>
      </c>
      <c r="D152" s="105">
        <f>D143-D150</f>
        <v>2211.36524617712</v>
      </c>
      <c r="E152" s="239"/>
      <c r="F152" s="256"/>
      <c r="G152" s="104" t="s">
        <v>28</v>
      </c>
      <c r="H152" s="105">
        <f>H143-H150</f>
        <v>2349.5458024131003</v>
      </c>
    </row>
    <row r="153" ht="12.75">
      <c r="A153" s="267"/>
    </row>
    <row r="154" spans="1:8" ht="20.25">
      <c r="A154" s="267"/>
      <c r="F154" s="418"/>
      <c r="G154" s="419" t="s">
        <v>436</v>
      </c>
      <c r="H154" s="420">
        <f>H152-D152</f>
        <v>138.18055623598048</v>
      </c>
    </row>
    <row r="155" spans="1:8" ht="20.25">
      <c r="A155" s="267"/>
      <c r="F155" s="418"/>
      <c r="G155" s="419" t="s">
        <v>437</v>
      </c>
      <c r="H155" s="421">
        <f>H154/D152</f>
        <v>0.06248653698201101</v>
      </c>
    </row>
    <row r="156" spans="1:6" ht="18">
      <c r="A156" s="267"/>
      <c r="B156" s="237"/>
      <c r="C156" s="235"/>
      <c r="D156" s="236"/>
      <c r="E156" s="357"/>
      <c r="F156" s="358"/>
    </row>
    <row r="157" spans="1:10" ht="12.75">
      <c r="A157" s="74"/>
      <c r="B157" s="74"/>
      <c r="C157" s="74"/>
      <c r="D157" s="74"/>
      <c r="E157" s="74"/>
      <c r="F157" s="74"/>
      <c r="G157" s="74"/>
      <c r="H157" s="14"/>
      <c r="I157" s="11"/>
      <c r="J157" s="107"/>
    </row>
    <row r="158" spans="1:10" ht="12.75">
      <c r="A158" s="74"/>
      <c r="B158" s="74"/>
      <c r="C158" s="74"/>
      <c r="D158" s="74"/>
      <c r="E158" s="74"/>
      <c r="F158" s="74"/>
      <c r="G158" s="74"/>
      <c r="H158" s="14"/>
      <c r="I158" s="11"/>
      <c r="J158" s="107"/>
    </row>
    <row r="159" spans="1:10" ht="12.75">
      <c r="A159" s="74"/>
      <c r="B159" s="340"/>
      <c r="C159" s="340"/>
      <c r="D159" s="340"/>
      <c r="E159" s="340"/>
      <c r="F159" s="399"/>
      <c r="G159" s="74"/>
      <c r="H159" s="14"/>
      <c r="I159" s="11"/>
      <c r="J159" s="107"/>
    </row>
    <row r="160" spans="1:10" ht="20.25">
      <c r="A160" s="74"/>
      <c r="B160" s="341" t="s">
        <v>29</v>
      </c>
      <c r="C160" s="186"/>
      <c r="D160" s="186"/>
      <c r="E160" s="186"/>
      <c r="F160" s="74"/>
      <c r="G160" s="74"/>
      <c r="H160" s="14"/>
      <c r="I160" s="11"/>
      <c r="J160" s="107"/>
    </row>
    <row r="161" spans="1:10" ht="13.5" thickBot="1">
      <c r="A161" s="74"/>
      <c r="B161" s="74"/>
      <c r="C161" s="74"/>
      <c r="D161" s="74"/>
      <c r="E161" s="74"/>
      <c r="F161" s="74"/>
      <c r="G161" s="74"/>
      <c r="H161" s="14"/>
      <c r="I161" s="11"/>
      <c r="J161" s="107"/>
    </row>
    <row r="162" spans="1:10" ht="16.5" thickBot="1">
      <c r="A162" s="74"/>
      <c r="B162" s="108" t="s">
        <v>30</v>
      </c>
      <c r="C162" s="42"/>
      <c r="D162" s="12">
        <v>36</v>
      </c>
      <c r="E162" s="74"/>
      <c r="F162" s="338"/>
      <c r="G162" s="74"/>
      <c r="H162" s="14"/>
      <c r="I162" s="11"/>
      <c r="J162" s="11"/>
    </row>
    <row r="163" spans="1:10" ht="16.5" thickBot="1">
      <c r="A163" s="74"/>
      <c r="B163" s="84" t="s">
        <v>14</v>
      </c>
      <c r="C163" s="42"/>
      <c r="D163" s="119">
        <v>1.2</v>
      </c>
      <c r="E163" s="261"/>
      <c r="F163" s="339"/>
      <c r="G163" s="74"/>
      <c r="H163" s="14"/>
      <c r="I163" s="11"/>
      <c r="J163" s="109"/>
    </row>
    <row r="164" spans="1:10" ht="12.75">
      <c r="A164" s="74"/>
      <c r="E164" s="74"/>
      <c r="F164" s="74"/>
      <c r="G164" s="74"/>
      <c r="H164" s="14"/>
      <c r="I164" s="11"/>
      <c r="J164" s="110"/>
    </row>
    <row r="165" spans="1:10" ht="18.75" thickBot="1">
      <c r="A165" s="74"/>
      <c r="B165" s="87" t="s">
        <v>16</v>
      </c>
      <c r="C165" s="111"/>
      <c r="D165" s="88">
        <f>D162*64.73</f>
        <v>2330.28</v>
      </c>
      <c r="E165" s="261"/>
      <c r="F165" s="74"/>
      <c r="G165" s="74"/>
      <c r="H165" s="14"/>
      <c r="I165" s="75"/>
      <c r="J165" s="112"/>
    </row>
    <row r="166" spans="1:27" ht="18">
      <c r="A166" s="74"/>
      <c r="B166" s="335"/>
      <c r="C166" s="45"/>
      <c r="D166" s="336"/>
      <c r="E166" s="74"/>
      <c r="F166" s="74"/>
      <c r="G166" s="74"/>
      <c r="H166" s="334"/>
      <c r="I166" s="75"/>
      <c r="J166" s="112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</row>
    <row r="167" spans="1:8" ht="15.75">
      <c r="A167" s="262"/>
      <c r="B167" s="337" t="s">
        <v>420</v>
      </c>
      <c r="C167" s="74"/>
      <c r="D167" s="74"/>
      <c r="F167" s="337" t="s">
        <v>432</v>
      </c>
      <c r="G167" s="74"/>
      <c r="H167" s="74"/>
    </row>
    <row r="168" spans="1:8" ht="13.5" thickBot="1">
      <c r="A168" s="74"/>
      <c r="B168" s="112"/>
      <c r="C168" s="74"/>
      <c r="D168" s="74"/>
      <c r="F168" s="112"/>
      <c r="G168" s="74"/>
      <c r="H168" s="74"/>
    </row>
    <row r="169" spans="1:8" ht="12.75">
      <c r="A169" s="74"/>
      <c r="B169" s="240">
        <v>400</v>
      </c>
      <c r="C169" s="241" t="s">
        <v>18</v>
      </c>
      <c r="D169" s="242">
        <f>puntotalhorasmed*indiceoct08*0.82</f>
        <v>1339.8737155200001</v>
      </c>
      <c r="F169" s="240">
        <v>400</v>
      </c>
      <c r="G169" s="241" t="s">
        <v>18</v>
      </c>
      <c r="H169" s="242">
        <f>puntotalhorasmed*indicefeb09*0.82</f>
        <v>1427.3897112</v>
      </c>
    </row>
    <row r="170" spans="1:8" ht="12.75">
      <c r="A170" s="74"/>
      <c r="B170" s="243">
        <v>406</v>
      </c>
      <c r="C170" s="17" t="s">
        <v>19</v>
      </c>
      <c r="D170" s="244">
        <f>D169*porcantighorasmed</f>
        <v>1607.8484586240002</v>
      </c>
      <c r="F170" s="243">
        <v>406</v>
      </c>
      <c r="G170" s="17" t="s">
        <v>19</v>
      </c>
      <c r="H170" s="244">
        <f>H169*porcantighorasmed</f>
        <v>1712.86765344</v>
      </c>
    </row>
    <row r="171" spans="1:8" ht="12.75">
      <c r="A171" s="334"/>
      <c r="B171" s="243">
        <v>432</v>
      </c>
      <c r="C171" s="17" t="s">
        <v>349</v>
      </c>
      <c r="D171" s="245">
        <f>IF(numhorasmed&gt;30,282,cod06medsep07*numhorasmed)*0.82</f>
        <v>231.23999999999998</v>
      </c>
      <c r="F171" s="243">
        <v>432</v>
      </c>
      <c r="G171" s="17" t="s">
        <v>349</v>
      </c>
      <c r="H171" s="245">
        <f>IF(numhorasmed&gt;30,282,cod06medsep07*numhorasmed)*0.82</f>
        <v>231.23999999999998</v>
      </c>
    </row>
    <row r="172" spans="1:8" ht="12.75">
      <c r="A172" s="334"/>
      <c r="B172" s="243">
        <v>434</v>
      </c>
      <c r="C172" s="17" t="s">
        <v>345</v>
      </c>
      <c r="D172" s="244">
        <f>(D169+D170+D171)*0.07*0.95</f>
        <v>211.40098458057602</v>
      </c>
      <c r="F172" s="243">
        <v>434</v>
      </c>
      <c r="G172" s="17" t="s">
        <v>345</v>
      </c>
      <c r="H172" s="244">
        <f>(H169+H170+H171)*0.07*0.95</f>
        <v>224.20457474856</v>
      </c>
    </row>
    <row r="173" spans="1:8" ht="13.5" thickBot="1">
      <c r="A173" s="334"/>
      <c r="B173" s="243"/>
      <c r="C173" s="91" t="s">
        <v>362</v>
      </c>
      <c r="D173" s="246">
        <v>0</v>
      </c>
      <c r="F173" s="243"/>
      <c r="G173" s="91" t="s">
        <v>362</v>
      </c>
      <c r="H173" s="246">
        <v>0</v>
      </c>
    </row>
    <row r="174" spans="1:8" ht="13.5" thickBot="1">
      <c r="A174" s="334"/>
      <c r="B174" s="247"/>
      <c r="C174" s="93" t="s">
        <v>20</v>
      </c>
      <c r="D174" s="113">
        <f>SUM(D169:D173)</f>
        <v>3390.363158724576</v>
      </c>
      <c r="F174" s="247"/>
      <c r="G174" s="93" t="s">
        <v>20</v>
      </c>
      <c r="H174" s="113">
        <f>SUM(H169:H173)</f>
        <v>3595.7019393885594</v>
      </c>
    </row>
    <row r="175" spans="1:8" ht="12.75">
      <c r="A175" s="334"/>
      <c r="B175" s="243">
        <v>703</v>
      </c>
      <c r="C175" s="95" t="s">
        <v>21</v>
      </c>
      <c r="D175" s="248">
        <f>(D174-D173)*0.0025</f>
        <v>8.47590789681144</v>
      </c>
      <c r="F175" s="243">
        <v>703</v>
      </c>
      <c r="G175" s="95" t="s">
        <v>21</v>
      </c>
      <c r="H175" s="248">
        <f>(H174-H173)*0.0025</f>
        <v>8.989254848471399</v>
      </c>
    </row>
    <row r="176" spans="1:8" ht="12.75">
      <c r="A176" s="74"/>
      <c r="B176" s="249">
        <v>707</v>
      </c>
      <c r="C176" s="97" t="s">
        <v>22</v>
      </c>
      <c r="D176" s="250">
        <f>(D174-D173)*0.03</f>
        <v>101.71089476173728</v>
      </c>
      <c r="F176" s="249">
        <v>707</v>
      </c>
      <c r="G176" s="97" t="s">
        <v>22</v>
      </c>
      <c r="H176" s="250">
        <f>(H174-H173)*0.03</f>
        <v>107.87105818165678</v>
      </c>
    </row>
    <row r="177" spans="1:8" ht="12.75">
      <c r="A177" s="172"/>
      <c r="B177" s="249">
        <v>709</v>
      </c>
      <c r="C177" s="97" t="s">
        <v>23</v>
      </c>
      <c r="D177" s="250">
        <f>(D174-D173)*0.0213</f>
        <v>72.21473528083347</v>
      </c>
      <c r="F177" s="249">
        <v>709</v>
      </c>
      <c r="G177" s="97" t="s">
        <v>23</v>
      </c>
      <c r="H177" s="250">
        <f>(H174-H173)*0.0213</f>
        <v>76.58845130897632</v>
      </c>
    </row>
    <row r="178" spans="1:8" ht="12.75">
      <c r="A178" s="172"/>
      <c r="B178" s="251">
        <v>710</v>
      </c>
      <c r="C178" s="97" t="s">
        <v>24</v>
      </c>
      <c r="D178" s="257">
        <f>(D174-D173)*0.00754</f>
        <v>25.5633382167833</v>
      </c>
      <c r="F178" s="251">
        <v>710</v>
      </c>
      <c r="G178" s="97" t="s">
        <v>24</v>
      </c>
      <c r="H178" s="257">
        <f>(H174-H173)*0.00754</f>
        <v>27.111592622989736</v>
      </c>
    </row>
    <row r="179" spans="1:8" ht="12.75">
      <c r="A179" s="172"/>
      <c r="B179" s="251">
        <v>713</v>
      </c>
      <c r="C179" s="97" t="s">
        <v>25</v>
      </c>
      <c r="D179" s="250">
        <f>(D174-D173)*0.007</f>
        <v>23.732542111072032</v>
      </c>
      <c r="F179" s="251">
        <v>713</v>
      </c>
      <c r="G179" s="97" t="s">
        <v>25</v>
      </c>
      <c r="H179" s="250">
        <f>(H174-H173)*0.007</f>
        <v>25.169913575719917</v>
      </c>
    </row>
    <row r="180" spans="1:8" ht="13.5" thickBot="1">
      <c r="A180" s="173"/>
      <c r="B180" s="251"/>
      <c r="C180" s="98" t="s">
        <v>26</v>
      </c>
      <c r="D180" s="252">
        <v>0</v>
      </c>
      <c r="F180" s="251"/>
      <c r="G180" s="98" t="s">
        <v>26</v>
      </c>
      <c r="H180" s="252">
        <v>0</v>
      </c>
    </row>
    <row r="181" spans="1:8" ht="13.5" thickBot="1">
      <c r="A181" s="334"/>
      <c r="B181" s="253"/>
      <c r="C181" s="93" t="s">
        <v>27</v>
      </c>
      <c r="D181" s="114">
        <f>SUM(D175:D180)</f>
        <v>231.69741826723754</v>
      </c>
      <c r="F181" s="253"/>
      <c r="G181" s="93" t="s">
        <v>27</v>
      </c>
      <c r="H181" s="114">
        <f>SUM(H175:H180)</f>
        <v>245.7302705378142</v>
      </c>
    </row>
    <row r="182" spans="1:8" ht="13.5" thickBot="1">
      <c r="A182" s="334"/>
      <c r="B182" s="254"/>
      <c r="C182" s="101"/>
      <c r="D182" s="255"/>
      <c r="F182" s="254"/>
      <c r="G182" s="101"/>
      <c r="H182" s="255"/>
    </row>
    <row r="183" spans="1:8" ht="13.5" thickBot="1">
      <c r="A183" s="74"/>
      <c r="B183" s="256"/>
      <c r="C183" s="104" t="s">
        <v>28</v>
      </c>
      <c r="D183" s="115">
        <f>D174-D181</f>
        <v>3158.6657404573384</v>
      </c>
      <c r="F183" s="256"/>
      <c r="G183" s="104" t="s">
        <v>28</v>
      </c>
      <c r="H183" s="115">
        <f>H174-H181</f>
        <v>3349.971668850745</v>
      </c>
    </row>
    <row r="184" spans="1:4" ht="12.75">
      <c r="A184" s="74"/>
      <c r="B184" s="4"/>
      <c r="C184" s="206"/>
      <c r="D184" s="207"/>
    </row>
    <row r="185" spans="1:8" ht="20.25">
      <c r="A185" s="74"/>
      <c r="B185" s="4"/>
      <c r="C185" s="206"/>
      <c r="D185" s="207"/>
      <c r="F185" s="418"/>
      <c r="G185" s="419" t="s">
        <v>436</v>
      </c>
      <c r="H185" s="420">
        <f>H183-D183</f>
        <v>191.3059283934067</v>
      </c>
    </row>
    <row r="186" spans="1:8" ht="20.25">
      <c r="A186" s="74"/>
      <c r="B186" s="4"/>
      <c r="C186" s="206"/>
      <c r="D186" s="207"/>
      <c r="F186" s="418"/>
      <c r="G186" s="419" t="s">
        <v>437</v>
      </c>
      <c r="H186" s="421">
        <f>H185/D183</f>
        <v>0.06056542354041799</v>
      </c>
    </row>
    <row r="187" spans="1:7" ht="12.75">
      <c r="A187" s="74"/>
      <c r="B187" s="350"/>
      <c r="C187" s="74"/>
      <c r="D187" s="74"/>
      <c r="E187" s="74"/>
      <c r="F187" s="74"/>
      <c r="G187" s="74"/>
    </row>
    <row r="188" spans="1:7" ht="12.75">
      <c r="A188" s="74"/>
      <c r="B188" s="350"/>
      <c r="C188" s="74"/>
      <c r="D188" s="74"/>
      <c r="E188" s="74"/>
      <c r="F188" s="74"/>
      <c r="G188" s="74"/>
    </row>
    <row r="189" spans="1:10" ht="12.75">
      <c r="A189" s="74"/>
      <c r="B189" s="353"/>
      <c r="C189" s="353"/>
      <c r="D189" s="353"/>
      <c r="E189" s="353"/>
      <c r="F189" s="74"/>
      <c r="G189" s="74"/>
      <c r="H189" s="14"/>
      <c r="I189" s="11"/>
      <c r="J189" s="11"/>
    </row>
    <row r="190" spans="1:10" ht="20.25">
      <c r="A190" s="74"/>
      <c r="B190" s="341" t="s">
        <v>31</v>
      </c>
      <c r="C190" s="186"/>
      <c r="D190" s="186"/>
      <c r="E190" s="186"/>
      <c r="F190" s="74"/>
      <c r="G190" s="74"/>
      <c r="H190" s="14"/>
      <c r="I190" s="11"/>
      <c r="J190" s="11"/>
    </row>
    <row r="191" spans="1:10" ht="13.5" thickBot="1">
      <c r="A191" s="74"/>
      <c r="B191" s="74"/>
      <c r="C191" s="74"/>
      <c r="D191" s="74"/>
      <c r="E191" s="74"/>
      <c r="F191" s="74"/>
      <c r="G191" s="74"/>
      <c r="H191" s="14"/>
      <c r="I191" s="11"/>
      <c r="J191" s="11"/>
    </row>
    <row r="192" spans="1:10" ht="16.5" thickBot="1">
      <c r="A192" s="74"/>
      <c r="B192" s="108" t="s">
        <v>30</v>
      </c>
      <c r="C192" s="42"/>
      <c r="D192" s="12">
        <v>36</v>
      </c>
      <c r="E192" s="74"/>
      <c r="F192" s="74"/>
      <c r="G192" s="342"/>
      <c r="H192" s="14"/>
      <c r="I192" s="11"/>
      <c r="J192" s="109"/>
    </row>
    <row r="193" spans="1:10" ht="16.5" thickBot="1">
      <c r="A193" s="74"/>
      <c r="B193" s="84" t="s">
        <v>14</v>
      </c>
      <c r="C193" s="42"/>
      <c r="D193" s="131">
        <v>1.2</v>
      </c>
      <c r="E193" s="261"/>
      <c r="F193" s="74"/>
      <c r="G193" s="74"/>
      <c r="H193" s="14"/>
      <c r="I193" s="11"/>
      <c r="J193" s="110"/>
    </row>
    <row r="194" spans="1:10" ht="12.75">
      <c r="A194" s="74"/>
      <c r="E194" s="74"/>
      <c r="F194" s="351"/>
      <c r="G194" s="74"/>
      <c r="H194" s="14"/>
      <c r="I194" s="75"/>
      <c r="J194" s="112"/>
    </row>
    <row r="195" spans="1:10" ht="18.75" thickBot="1">
      <c r="A195" s="74"/>
      <c r="B195" s="87" t="s">
        <v>16</v>
      </c>
      <c r="C195" s="111"/>
      <c r="D195" s="116">
        <f>D192*86.9</f>
        <v>3128.4</v>
      </c>
      <c r="E195" s="74" t="s">
        <v>32</v>
      </c>
      <c r="F195" s="338"/>
      <c r="G195" s="334"/>
      <c r="H195" s="14"/>
      <c r="I195" s="11"/>
      <c r="J195" s="112"/>
    </row>
    <row r="196" spans="1:10" ht="12.75">
      <c r="A196" s="74"/>
      <c r="B196" s="74"/>
      <c r="C196" s="74"/>
      <c r="D196" s="74"/>
      <c r="E196" s="74"/>
      <c r="F196" s="74"/>
      <c r="G196" s="74"/>
      <c r="H196" s="14"/>
      <c r="I196" s="11"/>
      <c r="J196" s="11"/>
    </row>
    <row r="197" spans="1:10" ht="12.75">
      <c r="A197" s="74"/>
      <c r="B197" s="11"/>
      <c r="C197" s="11"/>
      <c r="D197" s="352"/>
      <c r="E197" s="74"/>
      <c r="F197" s="74"/>
      <c r="G197" s="74"/>
      <c r="H197" s="14"/>
      <c r="I197" s="11"/>
      <c r="J197" s="75"/>
    </row>
    <row r="198" spans="1:8" ht="15.75">
      <c r="A198" s="262"/>
      <c r="B198" s="337" t="s">
        <v>420</v>
      </c>
      <c r="C198" s="74"/>
      <c r="D198" s="74"/>
      <c r="E198" s="74"/>
      <c r="F198" s="337" t="s">
        <v>432</v>
      </c>
      <c r="G198" s="74"/>
      <c r="H198" s="74"/>
    </row>
    <row r="199" spans="1:8" ht="13.5" thickBot="1">
      <c r="A199" s="74"/>
      <c r="B199" s="74"/>
      <c r="C199" s="74"/>
      <c r="D199" s="74"/>
      <c r="E199" s="74"/>
      <c r="F199" s="74"/>
      <c r="G199" s="74"/>
      <c r="H199" s="74"/>
    </row>
    <row r="200" spans="1:8" ht="12.75">
      <c r="A200" s="74"/>
      <c r="B200" s="240">
        <v>400</v>
      </c>
      <c r="C200" s="241" t="s">
        <v>18</v>
      </c>
      <c r="D200" s="242">
        <f>puntostotalhorassup*indiceoct08*0.82</f>
        <v>1798.7799456</v>
      </c>
      <c r="F200" s="240">
        <v>400</v>
      </c>
      <c r="G200" s="241" t="s">
        <v>18</v>
      </c>
      <c r="H200" s="242">
        <f>puntostotalhorassup*indicefeb09*0.82</f>
        <v>1916.2701359999999</v>
      </c>
    </row>
    <row r="201" spans="1:8" ht="12.75">
      <c r="A201" s="74"/>
      <c r="B201" s="243">
        <v>406</v>
      </c>
      <c r="C201" s="17" t="s">
        <v>19</v>
      </c>
      <c r="D201" s="244">
        <f>D200*porcantigsup</f>
        <v>2158.53593472</v>
      </c>
      <c r="F201" s="243">
        <v>406</v>
      </c>
      <c r="G201" s="17" t="s">
        <v>19</v>
      </c>
      <c r="H201" s="244">
        <f>H200*porcantigsup</f>
        <v>2299.5241631999997</v>
      </c>
    </row>
    <row r="202" spans="1:8" ht="12.75">
      <c r="A202" s="334"/>
      <c r="B202" s="243">
        <v>432</v>
      </c>
      <c r="C202" s="17" t="s">
        <v>349</v>
      </c>
      <c r="D202" s="245">
        <f>IF(numhorassup&gt;15,141,cod06supsep07*numhorassup)*0.82</f>
        <v>115.61999999999999</v>
      </c>
      <c r="F202" s="243">
        <v>432</v>
      </c>
      <c r="G202" s="17" t="s">
        <v>349</v>
      </c>
      <c r="H202" s="245">
        <f>IF(numhorassup&gt;15,141,cod06supsep07*numhorassup)*0.82</f>
        <v>115.61999999999999</v>
      </c>
    </row>
    <row r="203" spans="1:8" ht="12.75">
      <c r="A203" s="334"/>
      <c r="B203" s="243">
        <v>434</v>
      </c>
      <c r="C203" s="17" t="s">
        <v>345</v>
      </c>
      <c r="D203" s="244">
        <f>(D200+D201+D202)*0.07*0.95</f>
        <v>270.85023604128</v>
      </c>
      <c r="F203" s="243">
        <v>434</v>
      </c>
      <c r="G203" s="17" t="s">
        <v>345</v>
      </c>
      <c r="H203" s="244">
        <f>(H200+H201+H202)*0.07*0.95</f>
        <v>288.0390508968</v>
      </c>
    </row>
    <row r="204" spans="1:8" ht="13.5" thickBot="1">
      <c r="A204" s="334"/>
      <c r="B204" s="243"/>
      <c r="C204" s="91" t="s">
        <v>362</v>
      </c>
      <c r="D204" s="246">
        <v>0</v>
      </c>
      <c r="F204" s="243"/>
      <c r="G204" s="91" t="s">
        <v>362</v>
      </c>
      <c r="H204" s="246">
        <v>0</v>
      </c>
    </row>
    <row r="205" spans="1:8" ht="13.5" thickBot="1">
      <c r="A205" s="334"/>
      <c r="B205" s="247"/>
      <c r="C205" s="93" t="s">
        <v>20</v>
      </c>
      <c r="D205" s="113">
        <f>SUM(D200:D204)</f>
        <v>4343.786116361281</v>
      </c>
      <c r="F205" s="247"/>
      <c r="G205" s="93" t="s">
        <v>20</v>
      </c>
      <c r="H205" s="113">
        <f>SUM(H200:H204)</f>
        <v>4619.4533500968</v>
      </c>
    </row>
    <row r="206" spans="1:8" ht="12.75">
      <c r="A206" s="334"/>
      <c r="B206" s="243">
        <v>703</v>
      </c>
      <c r="C206" s="95" t="s">
        <v>21</v>
      </c>
      <c r="D206" s="248">
        <f>(D205-D204)*0.0025</f>
        <v>10.859465290903202</v>
      </c>
      <c r="F206" s="243">
        <v>703</v>
      </c>
      <c r="G206" s="95" t="s">
        <v>21</v>
      </c>
      <c r="H206" s="248">
        <f>(H205-H204)*0.0025</f>
        <v>11.548633375242</v>
      </c>
    </row>
    <row r="207" spans="1:8" ht="12.75">
      <c r="A207" s="74"/>
      <c r="B207" s="249">
        <v>707</v>
      </c>
      <c r="C207" s="97" t="s">
        <v>22</v>
      </c>
      <c r="D207" s="250">
        <f>(D205-D204)*0.03</f>
        <v>130.31358349083843</v>
      </c>
      <c r="F207" s="249">
        <v>707</v>
      </c>
      <c r="G207" s="97" t="s">
        <v>22</v>
      </c>
      <c r="H207" s="250">
        <f>(H205-H204)*0.03</f>
        <v>138.583600502904</v>
      </c>
    </row>
    <row r="208" spans="1:8" ht="12.75">
      <c r="A208" s="172"/>
      <c r="B208" s="249">
        <v>709</v>
      </c>
      <c r="C208" s="97" t="s">
        <v>23</v>
      </c>
      <c r="D208" s="250">
        <f>(D205-D204)*0.0213</f>
        <v>92.52264427849528</v>
      </c>
      <c r="F208" s="249">
        <v>709</v>
      </c>
      <c r="G208" s="97" t="s">
        <v>23</v>
      </c>
      <c r="H208" s="250">
        <f>(H205-H204)*0.0213</f>
        <v>98.39435635706184</v>
      </c>
    </row>
    <row r="209" spans="1:8" ht="12.75">
      <c r="A209" s="172"/>
      <c r="B209" s="251">
        <v>710</v>
      </c>
      <c r="C209" s="97" t="s">
        <v>24</v>
      </c>
      <c r="D209" s="250">
        <f>(D205-D204)*0.00754</f>
        <v>32.752147317364056</v>
      </c>
      <c r="F209" s="251">
        <v>710</v>
      </c>
      <c r="G209" s="97" t="s">
        <v>24</v>
      </c>
      <c r="H209" s="250">
        <f>(H205-H204)*0.00754</f>
        <v>34.83067825972987</v>
      </c>
    </row>
    <row r="210" spans="1:8" ht="12.75">
      <c r="A210" s="172"/>
      <c r="B210" s="251">
        <v>713</v>
      </c>
      <c r="C210" s="97" t="s">
        <v>25</v>
      </c>
      <c r="D210" s="250">
        <f>(D205-D204)*0.007</f>
        <v>30.406502814528967</v>
      </c>
      <c r="F210" s="251">
        <v>713</v>
      </c>
      <c r="G210" s="97" t="s">
        <v>25</v>
      </c>
      <c r="H210" s="250">
        <f>(H205-H204)*0.007</f>
        <v>32.3361734506776</v>
      </c>
    </row>
    <row r="211" spans="1:8" ht="13.5" thickBot="1">
      <c r="A211" s="173"/>
      <c r="B211" s="251"/>
      <c r="C211" s="98" t="s">
        <v>26</v>
      </c>
      <c r="D211" s="252">
        <v>0</v>
      </c>
      <c r="F211" s="251"/>
      <c r="G211" s="98" t="s">
        <v>26</v>
      </c>
      <c r="H211" s="252">
        <v>0</v>
      </c>
    </row>
    <row r="212" spans="1:8" ht="13.5" thickBot="1">
      <c r="A212" s="334"/>
      <c r="B212" s="253"/>
      <c r="C212" s="93" t="s">
        <v>27</v>
      </c>
      <c r="D212" s="114">
        <f>SUM(D206:D211)</f>
        <v>296.8543431921299</v>
      </c>
      <c r="F212" s="253"/>
      <c r="G212" s="93" t="s">
        <v>27</v>
      </c>
      <c r="H212" s="114">
        <f>SUM(H206:H211)</f>
        <v>315.69344194561535</v>
      </c>
    </row>
    <row r="213" spans="1:8" ht="13.5" thickBot="1">
      <c r="A213" s="334"/>
      <c r="B213" s="254"/>
      <c r="C213" s="101"/>
      <c r="D213" s="255"/>
      <c r="F213" s="254"/>
      <c r="G213" s="101"/>
      <c r="H213" s="255"/>
    </row>
    <row r="214" spans="1:8" ht="13.5" thickBot="1">
      <c r="A214" s="74"/>
      <c r="B214" s="256"/>
      <c r="C214" s="104" t="s">
        <v>28</v>
      </c>
      <c r="D214" s="115">
        <f>D205-D212</f>
        <v>4046.931773169151</v>
      </c>
      <c r="F214" s="256"/>
      <c r="G214" s="104" t="s">
        <v>28</v>
      </c>
      <c r="H214" s="115">
        <f>H205-H212</f>
        <v>4303.759908151184</v>
      </c>
    </row>
    <row r="215" ht="12.75">
      <c r="A215" s="74"/>
    </row>
    <row r="216" spans="1:8" ht="20.25">
      <c r="A216" s="74"/>
      <c r="B216" s="237"/>
      <c r="C216" s="235"/>
      <c r="D216" s="236"/>
      <c r="F216" s="418"/>
      <c r="G216" s="422" t="s">
        <v>436</v>
      </c>
      <c r="H216" s="420">
        <f>H214-D214</f>
        <v>256.8281349820336</v>
      </c>
    </row>
    <row r="217" spans="1:8" ht="20.25">
      <c r="A217" s="74"/>
      <c r="B217" s="235"/>
      <c r="C217" s="235"/>
      <c r="D217" s="238"/>
      <c r="F217" s="418"/>
      <c r="G217" s="419" t="s">
        <v>437</v>
      </c>
      <c r="H217" s="421">
        <f>H216/D214</f>
        <v>0.06346243262235962</v>
      </c>
    </row>
    <row r="218" spans="1:6" ht="18.75" thickBot="1">
      <c r="A218" s="74"/>
      <c r="B218" s="410" t="s">
        <v>429</v>
      </c>
      <c r="C218" s="235"/>
      <c r="D218" s="238"/>
      <c r="E218" s="43"/>
      <c r="F218" s="323"/>
    </row>
    <row r="219" spans="1:8" ht="16.5" thickTop="1">
      <c r="A219" s="74"/>
      <c r="B219" s="400" t="s">
        <v>11</v>
      </c>
      <c r="C219" s="401"/>
      <c r="D219" s="402"/>
      <c r="E219" s="74"/>
      <c r="F219" s="74"/>
      <c r="G219" s="74"/>
      <c r="H219" s="14"/>
    </row>
    <row r="220" spans="1:8" ht="15.75">
      <c r="A220" s="74"/>
      <c r="B220" s="403" t="s">
        <v>418</v>
      </c>
      <c r="C220" s="404"/>
      <c r="D220" s="405"/>
      <c r="E220" s="74"/>
      <c r="F220" s="74"/>
      <c r="G220" s="74"/>
      <c r="H220" s="14"/>
    </row>
    <row r="221" spans="1:7" ht="15.75">
      <c r="A221" s="74"/>
      <c r="B221" s="403" t="s">
        <v>12</v>
      </c>
      <c r="C221" s="404"/>
      <c r="D221" s="405"/>
      <c r="E221" s="74"/>
      <c r="F221" s="74"/>
      <c r="G221" s="74"/>
    </row>
    <row r="222" spans="1:7" ht="15.75">
      <c r="A222" s="74"/>
      <c r="B222" s="403" t="s">
        <v>360</v>
      </c>
      <c r="C222" s="404"/>
      <c r="D222" s="405"/>
      <c r="E222" s="74"/>
      <c r="F222" s="74"/>
      <c r="G222" s="74"/>
    </row>
    <row r="223" spans="1:7" ht="15.75">
      <c r="A223" s="74"/>
      <c r="B223" s="406" t="s">
        <v>382</v>
      </c>
      <c r="C223" s="404"/>
      <c r="D223" s="405"/>
      <c r="E223" s="74"/>
      <c r="F223" s="74"/>
      <c r="G223" s="74"/>
    </row>
    <row r="224" spans="1:7" ht="15.75">
      <c r="A224" s="74"/>
      <c r="B224" s="406" t="s">
        <v>361</v>
      </c>
      <c r="C224" s="404"/>
      <c r="D224" s="405"/>
      <c r="E224" s="74"/>
      <c r="F224" s="74"/>
      <c r="G224" s="74"/>
    </row>
    <row r="225" spans="1:7" ht="15.75">
      <c r="A225" s="330"/>
      <c r="B225" s="406" t="s">
        <v>419</v>
      </c>
      <c r="C225" s="404"/>
      <c r="D225" s="405"/>
      <c r="E225" s="74"/>
      <c r="F225" s="74"/>
      <c r="G225" s="74"/>
    </row>
    <row r="226" spans="1:7" ht="15.75" thickBot="1">
      <c r="A226" s="74"/>
      <c r="B226" s="407"/>
      <c r="C226" s="408"/>
      <c r="D226" s="409"/>
      <c r="E226" s="74"/>
      <c r="F226" s="74"/>
      <c r="G226" s="74"/>
    </row>
    <row r="227" spans="1:7" ht="13.5" thickTop="1">
      <c r="A227" s="74"/>
      <c r="B227" s="74"/>
      <c r="C227" s="74"/>
      <c r="D227" s="74"/>
      <c r="E227" s="74"/>
      <c r="F227" s="74"/>
      <c r="G227" s="74"/>
    </row>
    <row r="228" spans="1:7" ht="12.75">
      <c r="A228" s="74"/>
      <c r="B228" s="74"/>
      <c r="C228" s="74"/>
      <c r="D228" s="74"/>
      <c r="E228" s="74"/>
      <c r="F228" s="74"/>
      <c r="G228" s="74"/>
    </row>
  </sheetData>
  <sheetProtection password="C9B5" sheet="1" objects="1" scenarios="1" selectLockedCells="1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13" r:id="rId1" display="www.agmeruruguay.com.ar"/>
    <hyperlink ref="D11" location="Cargos!A1" display="Cargos"/>
    <hyperlink ref="B224" r:id="rId2" display="www.agmeruruguay.com.ar"/>
    <hyperlink ref="B112" r:id="rId3" display="victorhutt@victorhutt.com.ar"/>
    <hyperlink ref="B223" r:id="rId4" display="victorhutt@victorhutt.com.ar"/>
    <hyperlink ref="B114" r:id="rId5" display="www.porunagmerdetodos.com.ar"/>
    <hyperlink ref="B225" r:id="rId6" display="www.porunagmerdetodos.com.ar"/>
  </hyperlinks>
  <printOptions/>
  <pageMargins left="0.75" right="0.75" top="1" bottom="1" header="0" footer="0"/>
  <pageSetup horizontalDpi="1200" verticalDpi="1200" orientation="portrait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79"/>
  <sheetViews>
    <sheetView showGridLines="0" zoomScale="75" zoomScaleNormal="75" workbookViewId="0" topLeftCell="C1">
      <pane ySplit="1" topLeftCell="BM91" activePane="bottomLeft" state="frozen"/>
      <selection pane="topLeft" activeCell="C1" sqref="C1"/>
      <selection pane="bottomLeft" activeCell="H28" sqref="H28"/>
    </sheetView>
  </sheetViews>
  <sheetFormatPr defaultColWidth="11.421875" defaultRowHeight="12.75"/>
  <cols>
    <col min="1" max="1" width="13.57421875" style="0" hidden="1" customWidth="1"/>
    <col min="2" max="2" width="8.7109375" style="0" hidden="1" customWidth="1"/>
    <col min="3" max="3" width="9.00390625" style="0" customWidth="1"/>
    <col min="4" max="4" width="13.00390625" style="0" customWidth="1"/>
    <col min="5" max="5" width="23.7109375" style="0" customWidth="1"/>
    <col min="6" max="6" width="16.00390625" style="0" bestFit="1" customWidth="1"/>
    <col min="7" max="7" width="14.421875" style="0" bestFit="1" customWidth="1"/>
    <col min="8" max="8" width="12.421875" style="0" customWidth="1"/>
    <col min="9" max="9" width="22.7109375" style="0" customWidth="1"/>
    <col min="10" max="10" width="12.2812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11" customFormat="1" ht="18.75" thickBot="1">
      <c r="C1" s="212"/>
      <c r="D1" s="213" t="s">
        <v>394</v>
      </c>
      <c r="E1" s="214" t="s">
        <v>395</v>
      </c>
      <c r="F1" s="215" t="s">
        <v>396</v>
      </c>
      <c r="G1" s="216" t="s">
        <v>397</v>
      </c>
      <c r="H1" s="217" t="s">
        <v>398</v>
      </c>
    </row>
    <row r="2" spans="3:15" ht="18.75" thickTop="1">
      <c r="C2" s="313"/>
      <c r="D2" s="313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3:15" ht="18">
      <c r="C3" s="314" t="s">
        <v>383</v>
      </c>
      <c r="D3" s="313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3:15" ht="18">
      <c r="C4" s="369" t="s">
        <v>427</v>
      </c>
      <c r="D4" s="313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6:20" ht="16.5" hidden="1" thickBot="1">
      <c r="F5" t="s">
        <v>398</v>
      </c>
      <c r="G5" s="10" t="s">
        <v>401</v>
      </c>
      <c r="H5" s="10" t="s">
        <v>402</v>
      </c>
      <c r="I5" s="133" t="s">
        <v>403</v>
      </c>
      <c r="J5" s="133" t="s">
        <v>404</v>
      </c>
      <c r="K5" s="133" t="s">
        <v>405</v>
      </c>
      <c r="L5" s="133" t="s">
        <v>406</v>
      </c>
      <c r="M5" s="133" t="s">
        <v>407</v>
      </c>
      <c r="N5" s="133" t="s">
        <v>408</v>
      </c>
      <c r="O5" s="148" t="s">
        <v>409</v>
      </c>
      <c r="P5" s="148">
        <v>1</v>
      </c>
      <c r="Q5" s="148">
        <v>2</v>
      </c>
      <c r="R5" s="148">
        <v>3</v>
      </c>
      <c r="S5" s="148">
        <v>4</v>
      </c>
      <c r="T5" s="148">
        <v>5</v>
      </c>
    </row>
    <row r="6" spans="5:20" ht="16.5" hidden="1" thickBot="1">
      <c r="E6" s="123">
        <v>0</v>
      </c>
      <c r="F6" s="134">
        <f aca="true" t="shared" si="0" ref="F6:F17">IF(puntosproljorvarios1&lt;620,T6,O6)</f>
        <v>180</v>
      </c>
      <c r="G6" s="134">
        <v>180</v>
      </c>
      <c r="H6" s="225">
        <v>80</v>
      </c>
      <c r="I6" s="149">
        <v>0</v>
      </c>
      <c r="J6" s="150">
        <v>0</v>
      </c>
      <c r="K6" s="151">
        <v>0</v>
      </c>
      <c r="L6" s="226">
        <v>0</v>
      </c>
      <c r="M6" s="227">
        <v>180</v>
      </c>
      <c r="N6" s="228">
        <v>80</v>
      </c>
      <c r="O6" s="152">
        <f aca="true" t="shared" si="1" ref="O6:O17">IF(punbasjubvarios1&gt;971,N6,M6)</f>
        <v>180</v>
      </c>
      <c r="P6" s="152">
        <f aca="true" t="shared" si="2" ref="P6:P17">IF(punbasjubvarios1&lt;972,G6,H6)</f>
        <v>180</v>
      </c>
      <c r="Q6" s="152">
        <f aca="true" t="shared" si="3" ref="Q6:Q17">IF(punbasjubvarios1&lt;1170,P6,I6)</f>
        <v>180</v>
      </c>
      <c r="R6" s="152">
        <f aca="true" t="shared" si="4" ref="R6:R17">IF(punbasjubvarios1&lt;1401,Q6,J6)</f>
        <v>180</v>
      </c>
      <c r="S6" s="152">
        <f aca="true" t="shared" si="5" ref="S6:S17">IF(punbasjubvarios1&lt;1943,R6,K6)</f>
        <v>180</v>
      </c>
      <c r="T6" s="152">
        <f aca="true" t="shared" si="6" ref="T6:T17">IF(punbasjubvarios1&lt;=2220,S6,L6)</f>
        <v>180</v>
      </c>
    </row>
    <row r="7" spans="5:20" ht="16.5" hidden="1" thickBot="1">
      <c r="E7" s="124">
        <v>0.1</v>
      </c>
      <c r="F7" s="134">
        <f t="shared" si="0"/>
        <v>195</v>
      </c>
      <c r="G7" s="134">
        <v>195</v>
      </c>
      <c r="H7" s="230">
        <v>90</v>
      </c>
      <c r="I7" s="149">
        <v>0</v>
      </c>
      <c r="J7" s="150">
        <v>0</v>
      </c>
      <c r="K7" s="151">
        <v>0</v>
      </c>
      <c r="L7" s="226">
        <v>0</v>
      </c>
      <c r="M7" s="227">
        <v>195</v>
      </c>
      <c r="N7" s="228">
        <v>90</v>
      </c>
      <c r="O7" s="152">
        <f t="shared" si="1"/>
        <v>195</v>
      </c>
      <c r="P7" s="152">
        <f t="shared" si="2"/>
        <v>195</v>
      </c>
      <c r="Q7" s="152">
        <f t="shared" si="3"/>
        <v>195</v>
      </c>
      <c r="R7" s="152">
        <f t="shared" si="4"/>
        <v>195</v>
      </c>
      <c r="S7" s="152">
        <f t="shared" si="5"/>
        <v>195</v>
      </c>
      <c r="T7" s="152">
        <f t="shared" si="6"/>
        <v>195</v>
      </c>
    </row>
    <row r="8" spans="5:20" ht="16.5" hidden="1" thickBot="1">
      <c r="E8" s="125">
        <v>0.15</v>
      </c>
      <c r="F8" s="134">
        <f t="shared" si="0"/>
        <v>290</v>
      </c>
      <c r="G8" s="134">
        <v>290</v>
      </c>
      <c r="H8" s="230">
        <v>180</v>
      </c>
      <c r="I8" s="153">
        <v>240</v>
      </c>
      <c r="J8" s="154">
        <v>193</v>
      </c>
      <c r="K8" s="155">
        <v>180</v>
      </c>
      <c r="L8" s="226">
        <v>0</v>
      </c>
      <c r="M8" s="227">
        <v>330</v>
      </c>
      <c r="N8" s="228">
        <v>220</v>
      </c>
      <c r="O8" s="152">
        <f t="shared" si="1"/>
        <v>330</v>
      </c>
      <c r="P8" s="152">
        <f t="shared" si="2"/>
        <v>290</v>
      </c>
      <c r="Q8" s="152">
        <f t="shared" si="3"/>
        <v>290</v>
      </c>
      <c r="R8" s="152">
        <f t="shared" si="4"/>
        <v>290</v>
      </c>
      <c r="S8" s="152">
        <f t="shared" si="5"/>
        <v>290</v>
      </c>
      <c r="T8" s="152">
        <f t="shared" si="6"/>
        <v>290</v>
      </c>
    </row>
    <row r="9" spans="5:20" ht="16.5" hidden="1" thickBot="1">
      <c r="E9" s="125">
        <v>0.3</v>
      </c>
      <c r="F9" s="134">
        <f t="shared" si="0"/>
        <v>340</v>
      </c>
      <c r="G9" s="134">
        <v>340</v>
      </c>
      <c r="H9" s="230">
        <v>195</v>
      </c>
      <c r="I9" s="153">
        <v>240</v>
      </c>
      <c r="J9" s="154">
        <v>193</v>
      </c>
      <c r="K9" s="155">
        <v>180</v>
      </c>
      <c r="L9" s="226">
        <v>0</v>
      </c>
      <c r="M9" s="227">
        <v>495</v>
      </c>
      <c r="N9" s="228">
        <v>350</v>
      </c>
      <c r="O9" s="152">
        <f t="shared" si="1"/>
        <v>495</v>
      </c>
      <c r="P9" s="152">
        <f t="shared" si="2"/>
        <v>340</v>
      </c>
      <c r="Q9" s="152">
        <f t="shared" si="3"/>
        <v>340</v>
      </c>
      <c r="R9" s="152">
        <f t="shared" si="4"/>
        <v>340</v>
      </c>
      <c r="S9" s="152">
        <f t="shared" si="5"/>
        <v>340</v>
      </c>
      <c r="T9" s="152">
        <f t="shared" si="6"/>
        <v>340</v>
      </c>
    </row>
    <row r="10" spans="5:20" ht="16.5" hidden="1" thickBot="1">
      <c r="E10" s="125">
        <v>0.4</v>
      </c>
      <c r="F10" s="134">
        <f t="shared" si="0"/>
        <v>370</v>
      </c>
      <c r="G10" s="134">
        <v>370</v>
      </c>
      <c r="H10" s="230">
        <v>210</v>
      </c>
      <c r="I10" s="153">
        <v>250</v>
      </c>
      <c r="J10" s="154">
        <v>200</v>
      </c>
      <c r="K10" s="155">
        <v>180</v>
      </c>
      <c r="L10" s="226">
        <v>140</v>
      </c>
      <c r="M10" s="227">
        <v>560</v>
      </c>
      <c r="N10" s="228">
        <v>400</v>
      </c>
      <c r="O10" s="152">
        <f t="shared" si="1"/>
        <v>560</v>
      </c>
      <c r="P10" s="152">
        <f t="shared" si="2"/>
        <v>370</v>
      </c>
      <c r="Q10" s="152">
        <f t="shared" si="3"/>
        <v>370</v>
      </c>
      <c r="R10" s="152">
        <f t="shared" si="4"/>
        <v>370</v>
      </c>
      <c r="S10" s="152">
        <f t="shared" si="5"/>
        <v>370</v>
      </c>
      <c r="T10" s="152">
        <f t="shared" si="6"/>
        <v>370</v>
      </c>
    </row>
    <row r="11" spans="5:20" ht="16.5" hidden="1" thickBot="1">
      <c r="E11" s="125">
        <v>0.5</v>
      </c>
      <c r="F11" s="134">
        <f t="shared" si="0"/>
        <v>395</v>
      </c>
      <c r="G11" s="134">
        <v>395</v>
      </c>
      <c r="H11" s="230">
        <v>230</v>
      </c>
      <c r="I11" s="153">
        <v>250</v>
      </c>
      <c r="J11" s="137">
        <v>200</v>
      </c>
      <c r="K11" s="155">
        <v>180</v>
      </c>
      <c r="L11" s="226">
        <v>140</v>
      </c>
      <c r="M11" s="227">
        <v>600</v>
      </c>
      <c r="N11" s="228">
        <v>435</v>
      </c>
      <c r="O11" s="152">
        <f t="shared" si="1"/>
        <v>600</v>
      </c>
      <c r="P11" s="152">
        <f t="shared" si="2"/>
        <v>395</v>
      </c>
      <c r="Q11" s="152">
        <f t="shared" si="3"/>
        <v>395</v>
      </c>
      <c r="R11" s="152">
        <f t="shared" si="4"/>
        <v>395</v>
      </c>
      <c r="S11" s="152">
        <f t="shared" si="5"/>
        <v>395</v>
      </c>
      <c r="T11" s="152">
        <f t="shared" si="6"/>
        <v>395</v>
      </c>
    </row>
    <row r="12" spans="5:20" ht="16.5" hidden="1" thickBot="1">
      <c r="E12" s="125">
        <v>0.6</v>
      </c>
      <c r="F12" s="134">
        <f t="shared" si="0"/>
        <v>455</v>
      </c>
      <c r="G12" s="134">
        <v>455</v>
      </c>
      <c r="H12" s="230">
        <v>260</v>
      </c>
      <c r="I12" s="153">
        <v>260</v>
      </c>
      <c r="J12" s="137">
        <v>203</v>
      </c>
      <c r="K12" s="155">
        <v>190</v>
      </c>
      <c r="L12" s="226">
        <v>160</v>
      </c>
      <c r="M12" s="227">
        <v>645</v>
      </c>
      <c r="N12" s="228">
        <v>450</v>
      </c>
      <c r="O12" s="152">
        <f t="shared" si="1"/>
        <v>645</v>
      </c>
      <c r="P12" s="152">
        <f t="shared" si="2"/>
        <v>455</v>
      </c>
      <c r="Q12" s="152">
        <f t="shared" si="3"/>
        <v>455</v>
      </c>
      <c r="R12" s="152">
        <f t="shared" si="4"/>
        <v>455</v>
      </c>
      <c r="S12" s="152">
        <f t="shared" si="5"/>
        <v>455</v>
      </c>
      <c r="T12" s="152">
        <f t="shared" si="6"/>
        <v>455</v>
      </c>
    </row>
    <row r="13" spans="5:20" ht="16.5" hidden="1" thickBot="1">
      <c r="E13" s="125">
        <v>0.7</v>
      </c>
      <c r="F13" s="134">
        <f t="shared" si="0"/>
        <v>430</v>
      </c>
      <c r="G13" s="134">
        <v>430</v>
      </c>
      <c r="H13" s="230">
        <v>285</v>
      </c>
      <c r="I13" s="153">
        <v>365</v>
      </c>
      <c r="J13" s="137">
        <v>230</v>
      </c>
      <c r="K13" s="155">
        <v>190</v>
      </c>
      <c r="L13" s="226">
        <v>160</v>
      </c>
      <c r="M13" s="227">
        <v>610</v>
      </c>
      <c r="N13" s="228">
        <v>465</v>
      </c>
      <c r="O13" s="152">
        <f t="shared" si="1"/>
        <v>610</v>
      </c>
      <c r="P13" s="152">
        <f t="shared" si="2"/>
        <v>430</v>
      </c>
      <c r="Q13" s="152">
        <f t="shared" si="3"/>
        <v>430</v>
      </c>
      <c r="R13" s="152">
        <f t="shared" si="4"/>
        <v>430</v>
      </c>
      <c r="S13" s="152">
        <f t="shared" si="5"/>
        <v>430</v>
      </c>
      <c r="T13" s="152">
        <f t="shared" si="6"/>
        <v>430</v>
      </c>
    </row>
    <row r="14" spans="5:20" ht="16.5" hidden="1" thickBot="1">
      <c r="E14" s="125">
        <v>0.8</v>
      </c>
      <c r="F14" s="134">
        <f t="shared" si="0"/>
        <v>515</v>
      </c>
      <c r="G14" s="134">
        <v>515</v>
      </c>
      <c r="H14" s="230">
        <v>345</v>
      </c>
      <c r="I14" s="136">
        <v>395</v>
      </c>
      <c r="J14" s="137">
        <v>340</v>
      </c>
      <c r="K14" s="156">
        <v>280</v>
      </c>
      <c r="L14" s="232">
        <v>180</v>
      </c>
      <c r="M14" s="227">
        <v>645</v>
      </c>
      <c r="N14" s="228">
        <v>475</v>
      </c>
      <c r="O14" s="152">
        <f t="shared" si="1"/>
        <v>645</v>
      </c>
      <c r="P14" s="152">
        <f t="shared" si="2"/>
        <v>515</v>
      </c>
      <c r="Q14" s="152">
        <f t="shared" si="3"/>
        <v>515</v>
      </c>
      <c r="R14" s="152">
        <f t="shared" si="4"/>
        <v>515</v>
      </c>
      <c r="S14" s="152">
        <f t="shared" si="5"/>
        <v>515</v>
      </c>
      <c r="T14" s="152">
        <f t="shared" si="6"/>
        <v>515</v>
      </c>
    </row>
    <row r="15" spans="5:20" ht="16.5" hidden="1" thickBot="1">
      <c r="E15" s="125">
        <v>1</v>
      </c>
      <c r="F15" s="134">
        <f t="shared" si="0"/>
        <v>635</v>
      </c>
      <c r="G15" s="134">
        <v>635</v>
      </c>
      <c r="H15" s="230">
        <v>435</v>
      </c>
      <c r="I15" s="136">
        <v>410</v>
      </c>
      <c r="J15" s="137">
        <v>330</v>
      </c>
      <c r="K15" s="156">
        <v>310</v>
      </c>
      <c r="L15" s="232">
        <v>180</v>
      </c>
      <c r="M15" s="227">
        <v>690</v>
      </c>
      <c r="N15" s="228">
        <v>490</v>
      </c>
      <c r="O15" s="152">
        <f t="shared" si="1"/>
        <v>690</v>
      </c>
      <c r="P15" s="152">
        <f t="shared" si="2"/>
        <v>635</v>
      </c>
      <c r="Q15" s="152">
        <f t="shared" si="3"/>
        <v>635</v>
      </c>
      <c r="R15" s="152">
        <f t="shared" si="4"/>
        <v>635</v>
      </c>
      <c r="S15" s="152">
        <f t="shared" si="5"/>
        <v>635</v>
      </c>
      <c r="T15" s="152">
        <f t="shared" si="6"/>
        <v>635</v>
      </c>
    </row>
    <row r="16" spans="1:20" ht="16.5" hidden="1" thickBot="1">
      <c r="A16">
        <v>1</v>
      </c>
      <c r="E16" s="125">
        <v>1.1</v>
      </c>
      <c r="F16" s="134">
        <f t="shared" si="0"/>
        <v>710</v>
      </c>
      <c r="G16" s="134">
        <v>710</v>
      </c>
      <c r="H16" s="230">
        <v>495</v>
      </c>
      <c r="I16" s="136">
        <v>430</v>
      </c>
      <c r="J16" s="137">
        <v>330</v>
      </c>
      <c r="K16" s="156">
        <v>320</v>
      </c>
      <c r="L16" s="232">
        <v>190</v>
      </c>
      <c r="M16" s="227">
        <v>720</v>
      </c>
      <c r="N16" s="228">
        <v>505</v>
      </c>
      <c r="O16" s="152">
        <f t="shared" si="1"/>
        <v>720</v>
      </c>
      <c r="P16" s="152">
        <f t="shared" si="2"/>
        <v>710</v>
      </c>
      <c r="Q16" s="152">
        <f t="shared" si="3"/>
        <v>710</v>
      </c>
      <c r="R16" s="152">
        <f t="shared" si="4"/>
        <v>710</v>
      </c>
      <c r="S16" s="152">
        <f t="shared" si="5"/>
        <v>710</v>
      </c>
      <c r="T16" s="152">
        <f t="shared" si="6"/>
        <v>710</v>
      </c>
    </row>
    <row r="17" spans="1:20" ht="16.5" hidden="1" thickBot="1">
      <c r="A17">
        <v>1</v>
      </c>
      <c r="E17" s="126">
        <v>1.2</v>
      </c>
      <c r="F17" s="134">
        <f t="shared" si="0"/>
        <v>730</v>
      </c>
      <c r="G17" s="134">
        <v>730</v>
      </c>
      <c r="H17" s="230">
        <v>510</v>
      </c>
      <c r="I17" s="136">
        <v>480</v>
      </c>
      <c r="J17" s="137">
        <v>335</v>
      </c>
      <c r="K17" s="156">
        <v>330</v>
      </c>
      <c r="L17" s="232">
        <v>190</v>
      </c>
      <c r="M17" s="227">
        <v>730</v>
      </c>
      <c r="N17" s="228">
        <v>510</v>
      </c>
      <c r="O17" s="152">
        <f t="shared" si="1"/>
        <v>730</v>
      </c>
      <c r="P17" s="152">
        <f t="shared" si="2"/>
        <v>730</v>
      </c>
      <c r="Q17" s="152">
        <f t="shared" si="3"/>
        <v>730</v>
      </c>
      <c r="R17" s="152">
        <f t="shared" si="4"/>
        <v>730</v>
      </c>
      <c r="S17" s="152">
        <f t="shared" si="5"/>
        <v>730</v>
      </c>
      <c r="T17" s="152">
        <f t="shared" si="6"/>
        <v>730</v>
      </c>
    </row>
    <row r="18" spans="5:20" s="258" customFormat="1" ht="15.75" hidden="1">
      <c r="E18" s="259"/>
      <c r="F18" s="164"/>
      <c r="G18" s="164"/>
      <c r="H18" s="260"/>
      <c r="I18" s="261"/>
      <c r="J18" s="261"/>
      <c r="K18" s="164"/>
      <c r="L18" s="11"/>
      <c r="M18" s="135"/>
      <c r="N18" s="135"/>
      <c r="O18" s="135"/>
      <c r="P18" s="135"/>
      <c r="Q18" s="135"/>
      <c r="R18" s="135"/>
      <c r="S18" s="135"/>
      <c r="T18" s="135"/>
    </row>
    <row r="19" spans="5:20" s="258" customFormat="1" ht="15.75" hidden="1">
      <c r="E19" s="259"/>
      <c r="F19" s="164" t="s">
        <v>399</v>
      </c>
      <c r="G19" s="164">
        <f>LOOKUP(F33,porantvar1,cod06cargosvar1)</f>
        <v>730</v>
      </c>
      <c r="H19" s="260"/>
      <c r="I19" s="261"/>
      <c r="J19" s="261"/>
      <c r="K19" s="164"/>
      <c r="L19" s="11"/>
      <c r="M19" s="135"/>
      <c r="N19" s="135"/>
      <c r="O19" s="135"/>
      <c r="P19" s="135"/>
      <c r="Q19" s="135"/>
      <c r="R19" s="135"/>
      <c r="S19" s="135"/>
      <c r="T19" s="135"/>
    </row>
    <row r="20" spans="5:20" s="258" customFormat="1" ht="15.75" hidden="1">
      <c r="E20" s="259"/>
      <c r="F20" s="164"/>
      <c r="G20" s="164"/>
      <c r="H20" s="260"/>
      <c r="I20" s="261"/>
      <c r="J20" s="261"/>
      <c r="K20" s="164"/>
      <c r="L20" s="11"/>
      <c r="M20" s="135"/>
      <c r="N20" s="135"/>
      <c r="O20" s="135"/>
      <c r="P20" s="135"/>
      <c r="Q20" s="135"/>
      <c r="R20" s="135"/>
      <c r="S20" s="135"/>
      <c r="T20" s="135"/>
    </row>
    <row r="21" spans="1:15" ht="12.75">
      <c r="A21" s="162">
        <v>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</row>
    <row r="22" spans="1:17" ht="20.25">
      <c r="A22" s="162">
        <v>1</v>
      </c>
      <c r="B22" s="49"/>
      <c r="C22" s="106"/>
      <c r="D22" s="106"/>
      <c r="E22" s="80" t="s">
        <v>390</v>
      </c>
      <c r="F22" s="10"/>
      <c r="G22" s="10"/>
      <c r="H22" s="106"/>
      <c r="I22" s="106"/>
      <c r="J22" s="106"/>
      <c r="K22" s="106"/>
      <c r="L22" s="106"/>
      <c r="M22" s="106"/>
      <c r="N22" s="163"/>
      <c r="O22" s="286"/>
      <c r="P22" s="164"/>
      <c r="Q22" s="164"/>
    </row>
    <row r="23" spans="1:17" ht="12.75">
      <c r="A23" s="162">
        <v>1</v>
      </c>
      <c r="B23" s="49"/>
      <c r="C23" s="49"/>
      <c r="D23" s="49"/>
      <c r="E23" s="49"/>
      <c r="F23" s="49"/>
      <c r="G23" s="49"/>
      <c r="H23" s="276"/>
      <c r="I23" s="49"/>
      <c r="J23" s="49"/>
      <c r="K23" s="49"/>
      <c r="L23" s="49"/>
      <c r="M23" s="49"/>
      <c r="N23" s="163"/>
      <c r="O23" s="286"/>
      <c r="P23" s="164"/>
      <c r="Q23" s="164"/>
    </row>
    <row r="24" spans="1:17" ht="12.75">
      <c r="A24" s="162">
        <v>1</v>
      </c>
      <c r="B24" s="162"/>
      <c r="C24" s="162"/>
      <c r="D24" s="44" t="s">
        <v>37</v>
      </c>
      <c r="E24" s="44" t="s">
        <v>341</v>
      </c>
      <c r="F24" s="44" t="s">
        <v>342</v>
      </c>
      <c r="G24" s="44" t="s">
        <v>343</v>
      </c>
      <c r="H24" s="44" t="s">
        <v>344</v>
      </c>
      <c r="I24" s="100" t="s">
        <v>410</v>
      </c>
      <c r="J24" s="49"/>
      <c r="K24" s="49"/>
      <c r="L24" s="49"/>
      <c r="M24" s="49"/>
      <c r="N24" s="163"/>
      <c r="O24" s="286"/>
      <c r="P24" s="164"/>
      <c r="Q24" s="164"/>
    </row>
    <row r="25" spans="1:17" ht="16.5" thickBot="1">
      <c r="A25" s="162">
        <v>1</v>
      </c>
      <c r="B25" s="162"/>
      <c r="C25" s="162"/>
      <c r="D25" s="117">
        <v>920</v>
      </c>
      <c r="E25" s="81">
        <f>LOOKUP(D25,[0]!numerocargo,[0]!puntosbasicoscargo)</f>
        <v>971</v>
      </c>
      <c r="F25" s="81">
        <f>LOOKUP(D25,[0]!numerocargo,[0]!tardifcargo)</f>
        <v>150</v>
      </c>
      <c r="G25" s="81">
        <f>LOOKUP(D25,[0]!numerocargo,[0]!proljorcargo)</f>
        <v>0</v>
      </c>
      <c r="H25" s="81">
        <f>LOOKUP(D25,[0]!numerocargo,[0]!jorcomcargo)</f>
        <v>0</v>
      </c>
      <c r="I25" s="44">
        <f>LOOKUP(D25,Cargos!A3:A314,puntoscompbasico)</f>
        <v>170</v>
      </c>
      <c r="J25" s="49"/>
      <c r="K25" s="49"/>
      <c r="L25" s="49"/>
      <c r="M25" s="49"/>
      <c r="N25" s="163"/>
      <c r="O25" s="286"/>
      <c r="P25" s="164"/>
      <c r="Q25" s="164"/>
    </row>
    <row r="26" spans="1:17" ht="13.5" thickBot="1">
      <c r="A26" s="162">
        <v>1</v>
      </c>
      <c r="B26" s="162"/>
      <c r="C26" s="162"/>
      <c r="D26" s="82" t="s">
        <v>38</v>
      </c>
      <c r="E26" s="83" t="str">
        <f>LOOKUP(D25,[0]!numerocargo,[0]!nombrecargo)</f>
        <v> MAESTRO DE GRUPO ESC. DIFERENCIADA</v>
      </c>
      <c r="F26" s="42"/>
      <c r="G26" s="42"/>
      <c r="H26" s="62"/>
      <c r="I26" s="49"/>
      <c r="J26" s="49"/>
      <c r="K26" s="49"/>
      <c r="L26" s="49"/>
      <c r="M26" s="49"/>
      <c r="N26" s="163"/>
      <c r="O26" s="286"/>
      <c r="P26" s="164"/>
      <c r="Q26" s="164"/>
    </row>
    <row r="27" spans="1:17" ht="13.5" thickBot="1">
      <c r="A27" s="162">
        <v>1</v>
      </c>
      <c r="B27" s="162"/>
      <c r="C27" s="162"/>
      <c r="D27" s="275"/>
      <c r="E27" s="276"/>
      <c r="F27" s="49"/>
      <c r="G27" s="49"/>
      <c r="H27" s="49"/>
      <c r="I27" s="128" t="s">
        <v>365</v>
      </c>
      <c r="J27" s="388"/>
      <c r="K27" s="388"/>
      <c r="L27" s="388"/>
      <c r="M27" s="49"/>
      <c r="N27" s="49"/>
      <c r="O27" s="49"/>
      <c r="P27" s="10"/>
      <c r="Q27" s="10"/>
    </row>
    <row r="28" spans="1:17" ht="19.5" thickBot="1" thickTop="1">
      <c r="A28" s="162">
        <v>1</v>
      </c>
      <c r="B28" s="162"/>
      <c r="C28" s="162"/>
      <c r="D28" s="165" t="s">
        <v>358</v>
      </c>
      <c r="E28" s="122"/>
      <c r="F28" s="122"/>
      <c r="G28" s="122"/>
      <c r="H28" s="166">
        <v>120</v>
      </c>
      <c r="I28" s="129">
        <f>H28/120</f>
        <v>1</v>
      </c>
      <c r="J28" s="276"/>
      <c r="K28" s="276"/>
      <c r="L28" s="276"/>
      <c r="M28" s="49"/>
      <c r="N28" s="49"/>
      <c r="O28" s="49"/>
      <c r="P28" s="10"/>
      <c r="Q28" s="10"/>
    </row>
    <row r="29" spans="1:17" ht="17.25" thickBot="1" thickTop="1">
      <c r="A29" s="162">
        <v>1</v>
      </c>
      <c r="B29" s="275"/>
      <c r="C29" s="276"/>
      <c r="D29" s="49"/>
      <c r="E29" s="49"/>
      <c r="F29" s="382"/>
      <c r="G29" s="49"/>
      <c r="H29" s="276"/>
      <c r="I29" s="49"/>
      <c r="J29" s="49"/>
      <c r="K29" s="49"/>
      <c r="L29" s="49"/>
      <c r="M29" s="49"/>
      <c r="N29" s="49"/>
      <c r="O29" s="49"/>
      <c r="P29" s="10"/>
      <c r="Q29" s="10"/>
    </row>
    <row r="30" spans="1:17" ht="17.25" thickBot="1" thickTop="1">
      <c r="A30" s="162">
        <v>1</v>
      </c>
      <c r="B30" s="275"/>
      <c r="C30" s="162"/>
      <c r="D30" s="120" t="s">
        <v>367</v>
      </c>
      <c r="E30" s="132">
        <v>0</v>
      </c>
      <c r="F30" s="382"/>
      <c r="G30" s="49"/>
      <c r="H30" s="276"/>
      <c r="I30" s="49"/>
      <c r="J30" s="49"/>
      <c r="K30" s="49"/>
      <c r="L30" s="49"/>
      <c r="M30" s="49"/>
      <c r="N30" s="49"/>
      <c r="O30" s="49"/>
      <c r="P30" s="10"/>
      <c r="Q30" s="10"/>
    </row>
    <row r="31" spans="1:17" ht="14.25" thickBot="1" thickTop="1">
      <c r="A31" s="162">
        <v>1</v>
      </c>
      <c r="B31" s="275"/>
      <c r="C31" s="276"/>
      <c r="D31" s="49"/>
      <c r="E31" s="49"/>
      <c r="F31" s="49"/>
      <c r="G31" s="49"/>
      <c r="H31" s="276"/>
      <c r="I31" s="49"/>
      <c r="J31" s="49"/>
      <c r="K31" s="49"/>
      <c r="L31" s="49"/>
      <c r="M31" s="49"/>
      <c r="N31" s="49"/>
      <c r="O31" s="49"/>
      <c r="P31" s="10"/>
      <c r="Q31" s="10"/>
    </row>
    <row r="32" spans="1:17" ht="16.5" thickBot="1">
      <c r="A32" s="162">
        <v>1</v>
      </c>
      <c r="B32" s="49"/>
      <c r="C32" s="106"/>
      <c r="D32" s="84" t="s">
        <v>13</v>
      </c>
      <c r="E32" s="42"/>
      <c r="F32" s="85">
        <f>E25*indiceoct08</f>
        <v>680.8652000000001</v>
      </c>
      <c r="G32" s="106"/>
      <c r="H32" s="106"/>
      <c r="I32" s="106"/>
      <c r="J32" s="106"/>
      <c r="K32" s="106"/>
      <c r="L32" s="106"/>
      <c r="M32" s="167"/>
      <c r="N32" s="167"/>
      <c r="O32" s="106"/>
      <c r="P32" s="10"/>
      <c r="Q32" s="10"/>
    </row>
    <row r="33" spans="1:17" ht="16.5" thickBot="1">
      <c r="A33" s="162">
        <v>1</v>
      </c>
      <c r="B33" s="49"/>
      <c r="C33" s="106"/>
      <c r="D33" s="84" t="s">
        <v>14</v>
      </c>
      <c r="E33" s="42"/>
      <c r="F33" s="119">
        <v>1.2</v>
      </c>
      <c r="G33" s="10" t="s">
        <v>15</v>
      </c>
      <c r="H33" s="10"/>
      <c r="I33" s="106"/>
      <c r="J33" s="106"/>
      <c r="K33" s="106"/>
      <c r="L33" s="106"/>
      <c r="M33" s="106"/>
      <c r="N33" s="167"/>
      <c r="O33" s="106"/>
      <c r="P33" s="10"/>
      <c r="Q33" s="10"/>
    </row>
    <row r="34" spans="1:17" ht="15.75">
      <c r="A34" s="162">
        <v>1</v>
      </c>
      <c r="B34" s="49"/>
      <c r="C34" s="106"/>
      <c r="D34" s="49"/>
      <c r="E34" s="49"/>
      <c r="F34" s="168"/>
      <c r="G34" s="106"/>
      <c r="H34" s="106"/>
      <c r="I34" s="106"/>
      <c r="J34" s="106"/>
      <c r="K34" s="106"/>
      <c r="L34" s="106"/>
      <c r="M34" s="106"/>
      <c r="N34" s="169"/>
      <c r="O34" s="106"/>
      <c r="P34" s="10"/>
      <c r="Q34" s="10"/>
    </row>
    <row r="35" spans="1:17" ht="18.75" thickBot="1">
      <c r="A35" s="162">
        <v>1</v>
      </c>
      <c r="B35" s="49"/>
      <c r="C35" s="106"/>
      <c r="D35" s="87" t="s">
        <v>16</v>
      </c>
      <c r="E35" s="87"/>
      <c r="F35" s="88">
        <f>E25</f>
        <v>971</v>
      </c>
      <c r="G35" s="10" t="s">
        <v>17</v>
      </c>
      <c r="H35" s="106"/>
      <c r="I35" s="342">
        <f>H25+G25</f>
        <v>0</v>
      </c>
      <c r="J35" s="167"/>
      <c r="K35" s="167"/>
      <c r="L35" s="167"/>
      <c r="M35" s="49"/>
      <c r="N35" s="106"/>
      <c r="O35" s="106"/>
      <c r="P35" s="10"/>
      <c r="Q35" s="10"/>
    </row>
    <row r="36" spans="1:17" ht="18">
      <c r="A36" s="162"/>
      <c r="B36" s="49"/>
      <c r="C36" s="106"/>
      <c r="D36" s="218"/>
      <c r="E36" s="218"/>
      <c r="F36" s="219"/>
      <c r="G36" s="106"/>
      <c r="H36" s="106"/>
      <c r="I36" s="167"/>
      <c r="J36" s="167"/>
      <c r="K36" s="167"/>
      <c r="L36" s="167"/>
      <c r="M36" s="49"/>
      <c r="N36" s="106"/>
      <c r="O36" s="106"/>
      <c r="P36" s="10"/>
      <c r="Q36" s="10"/>
    </row>
    <row r="37" spans="1:15" ht="15.75">
      <c r="A37" s="162"/>
      <c r="B37" s="49"/>
      <c r="C37" s="106"/>
      <c r="D37" s="10"/>
      <c r="E37" s="157" t="s">
        <v>426</v>
      </c>
      <c r="F37" s="10"/>
      <c r="G37" s="162"/>
      <c r="H37" s="162"/>
      <c r="I37" s="162"/>
      <c r="J37" s="162"/>
      <c r="K37" s="162"/>
      <c r="L37" s="162"/>
      <c r="M37" s="162"/>
      <c r="N37" s="162"/>
      <c r="O37" s="162"/>
    </row>
    <row r="38" spans="1:15" ht="12.75">
      <c r="A38" s="162">
        <v>1</v>
      </c>
      <c r="B38" s="49"/>
      <c r="C38" s="162"/>
      <c r="D38" s="17">
        <v>400</v>
      </c>
      <c r="E38" s="17" t="s">
        <v>18</v>
      </c>
      <c r="F38" s="89">
        <f>punbasjubvarios1*indiceoct08*0.82*frac1</f>
        <v>558.309464</v>
      </c>
      <c r="G38" s="162"/>
      <c r="H38" s="162"/>
      <c r="I38" s="162"/>
      <c r="J38" s="162"/>
      <c r="K38" s="162"/>
      <c r="L38" s="162"/>
      <c r="M38" s="162"/>
      <c r="N38" s="162"/>
      <c r="O38" s="162"/>
    </row>
    <row r="39" spans="1:15" ht="12.75">
      <c r="A39" s="162"/>
      <c r="B39" s="49"/>
      <c r="C39" s="162"/>
      <c r="D39" s="17">
        <v>542</v>
      </c>
      <c r="E39" s="17" t="s">
        <v>430</v>
      </c>
      <c r="F39" s="244">
        <f>compbasicovarios1*indiceoct08*0.82*frac1</f>
        <v>97.74728</v>
      </c>
      <c r="G39" s="162"/>
      <c r="H39" s="162"/>
      <c r="I39" s="162"/>
      <c r="J39" s="162"/>
      <c r="K39" s="162"/>
      <c r="L39" s="162"/>
      <c r="M39" s="162"/>
      <c r="N39" s="162"/>
      <c r="O39" s="162"/>
    </row>
    <row r="40" spans="1:7" ht="12.75" hidden="1">
      <c r="A40" s="162">
        <v>1</v>
      </c>
      <c r="B40" s="49"/>
      <c r="C40" s="162"/>
      <c r="D40" s="17">
        <v>404</v>
      </c>
      <c r="E40" s="17" t="s">
        <v>346</v>
      </c>
      <c r="F40" s="89">
        <f>F25*indiceoct08*0.82*frac1</f>
        <v>86.2476</v>
      </c>
      <c r="G40" s="162"/>
    </row>
    <row r="41" spans="1:7" ht="12.75" hidden="1">
      <c r="A41" s="162">
        <v>1</v>
      </c>
      <c r="B41" s="49"/>
      <c r="C41" s="162"/>
      <c r="D41" s="17">
        <v>406</v>
      </c>
      <c r="E41" s="17" t="s">
        <v>19</v>
      </c>
      <c r="F41" s="89">
        <f>(F38+F39+F40+F43)*F33</f>
        <v>890.7652128000001</v>
      </c>
      <c r="G41" s="162"/>
    </row>
    <row r="42" spans="1:7" ht="12.75" hidden="1">
      <c r="A42" s="162">
        <v>1</v>
      </c>
      <c r="B42" s="49"/>
      <c r="C42" s="162"/>
      <c r="D42" s="17">
        <v>408</v>
      </c>
      <c r="E42" s="17" t="s">
        <v>366</v>
      </c>
      <c r="F42" s="89">
        <f>(F38+F39+F40+F43)*E30</f>
        <v>0</v>
      </c>
      <c r="G42" s="162"/>
    </row>
    <row r="43" spans="1:7" ht="12.75" hidden="1">
      <c r="A43" s="162">
        <v>1</v>
      </c>
      <c r="B43" s="49"/>
      <c r="C43" s="162"/>
      <c r="D43" s="17">
        <v>416</v>
      </c>
      <c r="E43" s="90" t="s">
        <v>347</v>
      </c>
      <c r="F43" s="89">
        <f>puntosproljorvarios1*proljoroct08*0.82*frac1</f>
        <v>0</v>
      </c>
      <c r="G43" s="162"/>
    </row>
    <row r="44" spans="1:7" ht="12.75" hidden="1">
      <c r="A44" s="162">
        <v>1</v>
      </c>
      <c r="B44" s="49"/>
      <c r="C44" s="162"/>
      <c r="D44" s="17">
        <v>432</v>
      </c>
      <c r="E44" s="17" t="s">
        <v>364</v>
      </c>
      <c r="F44" s="89">
        <f>cod06sep07varios1*0.82*frac1</f>
        <v>598.5999999999999</v>
      </c>
      <c r="G44" s="162"/>
    </row>
    <row r="45" spans="1:7" ht="12.75" hidden="1">
      <c r="A45" s="162">
        <v>1</v>
      </c>
      <c r="B45" s="49"/>
      <c r="C45" s="162"/>
      <c r="D45" s="17">
        <v>434</v>
      </c>
      <c r="E45" s="17" t="s">
        <v>345</v>
      </c>
      <c r="F45" s="89">
        <f>(F38+F39+F40+F41+F43+F44+F42)*0.07*0.95</f>
        <v>148.40602552720003</v>
      </c>
      <c r="G45" s="162"/>
    </row>
    <row r="46" spans="1:7" ht="12.75" hidden="1">
      <c r="A46" s="162"/>
      <c r="B46" s="49"/>
      <c r="C46" s="162"/>
      <c r="D46" s="17"/>
      <c r="E46" s="91"/>
      <c r="F46" s="171"/>
      <c r="G46" s="162"/>
    </row>
    <row r="47" spans="1:7" ht="13.5" hidden="1" thickBot="1">
      <c r="A47" s="162">
        <v>1</v>
      </c>
      <c r="B47" s="49"/>
      <c r="C47" s="162"/>
      <c r="D47" s="17"/>
      <c r="E47" s="91" t="s">
        <v>362</v>
      </c>
      <c r="F47" s="118">
        <v>0</v>
      </c>
      <c r="G47" s="162"/>
    </row>
    <row r="48" spans="1:7" ht="16.5" hidden="1" thickBot="1">
      <c r="A48" s="162">
        <v>1</v>
      </c>
      <c r="B48" s="49"/>
      <c r="C48" s="162"/>
      <c r="D48" s="92"/>
      <c r="E48" s="93" t="s">
        <v>20</v>
      </c>
      <c r="F48" s="94">
        <f>SUM(F38:F47)</f>
        <v>2380.0755823272</v>
      </c>
      <c r="G48" s="162"/>
    </row>
    <row r="49" spans="1:7" ht="12.75" hidden="1">
      <c r="A49" s="162">
        <v>1</v>
      </c>
      <c r="B49" s="49"/>
      <c r="C49" s="162"/>
      <c r="D49" s="17">
        <v>703</v>
      </c>
      <c r="E49" s="95" t="s">
        <v>348</v>
      </c>
      <c r="F49" s="96">
        <f>(F48-F47)*0.0025</f>
        <v>5.950188955818001</v>
      </c>
      <c r="G49" s="162"/>
    </row>
    <row r="50" spans="1:7" ht="12.75" hidden="1">
      <c r="A50" s="162">
        <v>1</v>
      </c>
      <c r="B50" s="49"/>
      <c r="C50" s="162"/>
      <c r="D50" s="18">
        <v>707</v>
      </c>
      <c r="E50" s="97" t="s">
        <v>22</v>
      </c>
      <c r="F50" s="16">
        <f>(F48-F47)*0.03</f>
        <v>71.40226746981601</v>
      </c>
      <c r="G50" s="162"/>
    </row>
    <row r="51" spans="1:7" ht="12.75" hidden="1">
      <c r="A51" s="162">
        <v>1</v>
      </c>
      <c r="B51" s="49"/>
      <c r="C51" s="162"/>
      <c r="D51" s="18">
        <v>709</v>
      </c>
      <c r="E51" s="97" t="s">
        <v>23</v>
      </c>
      <c r="F51" s="16">
        <f>(F48-F47)*0.0213</f>
        <v>50.69560990356936</v>
      </c>
      <c r="G51" s="162"/>
    </row>
    <row r="52" spans="1:7" ht="12.75" hidden="1">
      <c r="A52" s="162">
        <v>1</v>
      </c>
      <c r="B52" s="49"/>
      <c r="C52" s="162"/>
      <c r="D52" s="15">
        <v>710</v>
      </c>
      <c r="E52" s="97" t="s">
        <v>24</v>
      </c>
      <c r="F52" s="16">
        <f>(F48-F47)*0.00754</f>
        <v>17.94576989074709</v>
      </c>
      <c r="G52" s="162"/>
    </row>
    <row r="53" spans="1:7" ht="12.75" hidden="1">
      <c r="A53" s="162">
        <v>1</v>
      </c>
      <c r="B53" s="49"/>
      <c r="C53" s="162"/>
      <c r="D53" s="15">
        <v>713</v>
      </c>
      <c r="E53" s="97" t="s">
        <v>25</v>
      </c>
      <c r="F53" s="16">
        <f>(F48-F47)*0.007</f>
        <v>16.660529076290402</v>
      </c>
      <c r="G53" s="162"/>
    </row>
    <row r="54" spans="1:7" ht="13.5" hidden="1" thickBot="1">
      <c r="A54" s="162">
        <v>1</v>
      </c>
      <c r="B54" s="49"/>
      <c r="C54" s="162"/>
      <c r="D54" s="15"/>
      <c r="E54" s="98" t="s">
        <v>26</v>
      </c>
      <c r="F54" s="48">
        <v>0</v>
      </c>
      <c r="G54" s="162"/>
    </row>
    <row r="55" spans="1:7" ht="16.5" hidden="1" thickBot="1">
      <c r="A55" s="162">
        <v>1</v>
      </c>
      <c r="B55" s="49"/>
      <c r="C55" s="162"/>
      <c r="D55" s="99"/>
      <c r="E55" s="93" t="s">
        <v>27</v>
      </c>
      <c r="F55" s="94">
        <f>SUM(F49:F54)</f>
        <v>162.65436529624088</v>
      </c>
      <c r="G55" s="162"/>
    </row>
    <row r="56" spans="1:7" ht="13.5" hidden="1" thickBot="1">
      <c r="A56" s="162">
        <v>1</v>
      </c>
      <c r="B56" s="49"/>
      <c r="C56" s="162"/>
      <c r="D56" s="100"/>
      <c r="E56" s="101"/>
      <c r="F56" s="102"/>
      <c r="G56" s="162"/>
    </row>
    <row r="57" spans="1:7" ht="16.5" hidden="1" thickBot="1">
      <c r="A57" s="162">
        <v>1</v>
      </c>
      <c r="B57" s="106"/>
      <c r="C57" s="162"/>
      <c r="D57" s="103"/>
      <c r="E57" s="104" t="s">
        <v>28</v>
      </c>
      <c r="F57" s="105">
        <f>F48-F55</f>
        <v>2217.4212170309593</v>
      </c>
      <c r="G57" s="162"/>
    </row>
    <row r="58" spans="1:7" ht="12.75" hidden="1">
      <c r="A58" s="162"/>
      <c r="B58" s="106"/>
      <c r="C58" s="162"/>
      <c r="G58" s="162"/>
    </row>
    <row r="59" spans="1:7" ht="12.75" hidden="1">
      <c r="A59" s="162">
        <v>1</v>
      </c>
      <c r="B59" s="106"/>
      <c r="C59" s="174"/>
      <c r="G59" s="162"/>
    </row>
    <row r="60" spans="1:17" ht="15.75">
      <c r="A60" s="162">
        <v>1</v>
      </c>
      <c r="B60" s="106"/>
      <c r="C60" s="174"/>
      <c r="D60" s="175"/>
      <c r="E60" s="176"/>
      <c r="F60" s="106"/>
      <c r="G60" s="174"/>
      <c r="H60" s="177"/>
      <c r="I60" s="178"/>
      <c r="J60" s="178"/>
      <c r="K60" s="178"/>
      <c r="L60" s="178"/>
      <c r="M60" s="106"/>
      <c r="N60" s="276"/>
      <c r="O60" s="49"/>
      <c r="P60" s="10"/>
      <c r="Q60" s="10"/>
    </row>
    <row r="61" ht="21.75" customHeight="1"/>
    <row r="62" spans="3:16" s="263" customFormat="1" ht="15.75" hidden="1">
      <c r="C62" s="259"/>
      <c r="F62" s="164"/>
      <c r="G62" s="135"/>
      <c r="H62" s="75"/>
      <c r="I62" s="75"/>
      <c r="J62" s="164"/>
      <c r="K62" s="11"/>
      <c r="L62" s="135"/>
      <c r="M62" s="135"/>
      <c r="N62" s="135"/>
      <c r="O62" s="135"/>
      <c r="P62" s="135"/>
    </row>
    <row r="63" spans="1:20" ht="16.5" hidden="1" thickBot="1">
      <c r="A63">
        <v>2</v>
      </c>
      <c r="F63" t="s">
        <v>398</v>
      </c>
      <c r="G63" s="10" t="s">
        <v>401</v>
      </c>
      <c r="H63" s="10" t="s">
        <v>402</v>
      </c>
      <c r="I63" s="133" t="s">
        <v>403</v>
      </c>
      <c r="J63" s="133" t="s">
        <v>404</v>
      </c>
      <c r="K63" s="133" t="s">
        <v>405</v>
      </c>
      <c r="L63" s="133" t="s">
        <v>406</v>
      </c>
      <c r="M63" s="133" t="s">
        <v>407</v>
      </c>
      <c r="N63" s="133" t="s">
        <v>408</v>
      </c>
      <c r="O63" s="148" t="s">
        <v>409</v>
      </c>
      <c r="P63" s="148">
        <v>1</v>
      </c>
      <c r="Q63" s="148">
        <v>2</v>
      </c>
      <c r="R63" s="148">
        <v>3</v>
      </c>
      <c r="S63" s="148">
        <v>4</v>
      </c>
      <c r="T63" s="148">
        <v>5</v>
      </c>
    </row>
    <row r="64" spans="1:20" ht="16.5" hidden="1" thickBot="1">
      <c r="A64">
        <v>2</v>
      </c>
      <c r="E64" s="123">
        <v>0</v>
      </c>
      <c r="F64" s="134">
        <f aca="true" t="shared" si="7" ref="F64:F75">IF(puntosproljorvarios2&lt;620,T64,O64)</f>
        <v>180</v>
      </c>
      <c r="G64" s="134">
        <v>180</v>
      </c>
      <c r="H64" s="225">
        <v>80</v>
      </c>
      <c r="I64" s="149">
        <v>0</v>
      </c>
      <c r="J64" s="150">
        <v>0</v>
      </c>
      <c r="K64" s="151">
        <v>0</v>
      </c>
      <c r="L64" s="226">
        <v>0</v>
      </c>
      <c r="M64" s="227">
        <v>180</v>
      </c>
      <c r="N64" s="228">
        <v>80</v>
      </c>
      <c r="O64" s="152">
        <f aca="true" t="shared" si="8" ref="O64:O75">IF(punbasjubvarios2&gt;971,N64,M64)</f>
        <v>180</v>
      </c>
      <c r="P64" s="152">
        <f>IF(punbasjubvarios2&lt;972,G64,H64)</f>
        <v>180</v>
      </c>
      <c r="Q64" s="152">
        <f aca="true" t="shared" si="9" ref="Q64:Q75">IF(punbasjubvarios1&lt;1170,P64,I64)</f>
        <v>180</v>
      </c>
      <c r="R64" s="152">
        <f aca="true" t="shared" si="10" ref="R64:R75">IF(punbasjubvarios2&lt;1401,Q64,J64)</f>
        <v>180</v>
      </c>
      <c r="S64" s="152">
        <f aca="true" t="shared" si="11" ref="S64:S75">IF(punbasjubvarios2&lt;1943,R64,K64)</f>
        <v>180</v>
      </c>
      <c r="T64" s="152">
        <f aca="true" t="shared" si="12" ref="T64:T75">IF(punbasjubvarios2&lt;=2220,S64,L64)</f>
        <v>180</v>
      </c>
    </row>
    <row r="65" spans="1:20" ht="16.5" hidden="1" thickBot="1">
      <c r="A65">
        <v>2</v>
      </c>
      <c r="E65" s="124">
        <v>0.1</v>
      </c>
      <c r="F65" s="134">
        <f t="shared" si="7"/>
        <v>195</v>
      </c>
      <c r="G65" s="134">
        <v>195</v>
      </c>
      <c r="H65" s="230">
        <v>90</v>
      </c>
      <c r="I65" s="149">
        <v>0</v>
      </c>
      <c r="J65" s="150">
        <v>0</v>
      </c>
      <c r="K65" s="151">
        <v>0</v>
      </c>
      <c r="L65" s="226">
        <v>0</v>
      </c>
      <c r="M65" s="227">
        <v>195</v>
      </c>
      <c r="N65" s="228">
        <v>90</v>
      </c>
      <c r="O65" s="152">
        <f t="shared" si="8"/>
        <v>195</v>
      </c>
      <c r="P65" s="152">
        <f aca="true" t="shared" si="13" ref="P65:P75">IF(punbasjubvarios1&lt;972,G65,H65)</f>
        <v>195</v>
      </c>
      <c r="Q65" s="152">
        <f t="shared" si="9"/>
        <v>195</v>
      </c>
      <c r="R65" s="152">
        <f t="shared" si="10"/>
        <v>195</v>
      </c>
      <c r="S65" s="152">
        <f t="shared" si="11"/>
        <v>195</v>
      </c>
      <c r="T65" s="152">
        <f t="shared" si="12"/>
        <v>195</v>
      </c>
    </row>
    <row r="66" spans="1:20" ht="16.5" hidden="1" thickBot="1">
      <c r="A66">
        <v>2</v>
      </c>
      <c r="E66" s="125">
        <v>0.15</v>
      </c>
      <c r="F66" s="134">
        <f t="shared" si="7"/>
        <v>290</v>
      </c>
      <c r="G66" s="134">
        <v>290</v>
      </c>
      <c r="H66" s="230">
        <v>180</v>
      </c>
      <c r="I66" s="153">
        <v>240</v>
      </c>
      <c r="J66" s="154">
        <v>193</v>
      </c>
      <c r="K66" s="155">
        <v>180</v>
      </c>
      <c r="L66" s="226">
        <v>0</v>
      </c>
      <c r="M66" s="227">
        <v>330</v>
      </c>
      <c r="N66" s="228">
        <v>220</v>
      </c>
      <c r="O66" s="152">
        <f t="shared" si="8"/>
        <v>330</v>
      </c>
      <c r="P66" s="152">
        <f t="shared" si="13"/>
        <v>290</v>
      </c>
      <c r="Q66" s="152">
        <f t="shared" si="9"/>
        <v>290</v>
      </c>
      <c r="R66" s="152">
        <f t="shared" si="10"/>
        <v>290</v>
      </c>
      <c r="S66" s="152">
        <f t="shared" si="11"/>
        <v>290</v>
      </c>
      <c r="T66" s="152">
        <f t="shared" si="12"/>
        <v>290</v>
      </c>
    </row>
    <row r="67" spans="1:20" ht="16.5" hidden="1" thickBot="1">
      <c r="A67">
        <v>2</v>
      </c>
      <c r="E67" s="125">
        <v>0.3</v>
      </c>
      <c r="F67" s="134">
        <f t="shared" si="7"/>
        <v>340</v>
      </c>
      <c r="G67" s="134">
        <v>340</v>
      </c>
      <c r="H67" s="230">
        <v>195</v>
      </c>
      <c r="I67" s="153">
        <v>240</v>
      </c>
      <c r="J67" s="154">
        <v>193</v>
      </c>
      <c r="K67" s="155">
        <v>180</v>
      </c>
      <c r="L67" s="226">
        <v>0</v>
      </c>
      <c r="M67" s="227">
        <v>495</v>
      </c>
      <c r="N67" s="228">
        <v>350</v>
      </c>
      <c r="O67" s="152">
        <f t="shared" si="8"/>
        <v>495</v>
      </c>
      <c r="P67" s="152">
        <f t="shared" si="13"/>
        <v>340</v>
      </c>
      <c r="Q67" s="152">
        <f t="shared" si="9"/>
        <v>340</v>
      </c>
      <c r="R67" s="152">
        <f t="shared" si="10"/>
        <v>340</v>
      </c>
      <c r="S67" s="152">
        <f t="shared" si="11"/>
        <v>340</v>
      </c>
      <c r="T67" s="152">
        <f t="shared" si="12"/>
        <v>340</v>
      </c>
    </row>
    <row r="68" spans="1:20" ht="16.5" hidden="1" thickBot="1">
      <c r="A68">
        <v>2</v>
      </c>
      <c r="E68" s="125">
        <v>0.4</v>
      </c>
      <c r="F68" s="134">
        <f t="shared" si="7"/>
        <v>370</v>
      </c>
      <c r="G68" s="134">
        <v>370</v>
      </c>
      <c r="H68" s="230">
        <v>210</v>
      </c>
      <c r="I68" s="153">
        <v>250</v>
      </c>
      <c r="J68" s="154">
        <v>200</v>
      </c>
      <c r="K68" s="155">
        <v>180</v>
      </c>
      <c r="L68" s="226">
        <v>140</v>
      </c>
      <c r="M68" s="227">
        <v>560</v>
      </c>
      <c r="N68" s="228">
        <v>400</v>
      </c>
      <c r="O68" s="152">
        <f t="shared" si="8"/>
        <v>560</v>
      </c>
      <c r="P68" s="152">
        <f t="shared" si="13"/>
        <v>370</v>
      </c>
      <c r="Q68" s="152">
        <f t="shared" si="9"/>
        <v>370</v>
      </c>
      <c r="R68" s="152">
        <f t="shared" si="10"/>
        <v>370</v>
      </c>
      <c r="S68" s="152">
        <f t="shared" si="11"/>
        <v>370</v>
      </c>
      <c r="T68" s="152">
        <f t="shared" si="12"/>
        <v>370</v>
      </c>
    </row>
    <row r="69" spans="1:20" ht="16.5" hidden="1" thickBot="1">
      <c r="A69">
        <v>2</v>
      </c>
      <c r="E69" s="125">
        <v>0.5</v>
      </c>
      <c r="F69" s="134">
        <f t="shared" si="7"/>
        <v>395</v>
      </c>
      <c r="G69" s="134">
        <v>395</v>
      </c>
      <c r="H69" s="230">
        <v>230</v>
      </c>
      <c r="I69" s="153">
        <v>250</v>
      </c>
      <c r="J69" s="137">
        <v>200</v>
      </c>
      <c r="K69" s="155">
        <v>180</v>
      </c>
      <c r="L69" s="226">
        <v>140</v>
      </c>
      <c r="M69" s="227">
        <v>600</v>
      </c>
      <c r="N69" s="228">
        <v>435</v>
      </c>
      <c r="O69" s="152">
        <f t="shared" si="8"/>
        <v>600</v>
      </c>
      <c r="P69" s="152">
        <f t="shared" si="13"/>
        <v>395</v>
      </c>
      <c r="Q69" s="152">
        <f t="shared" si="9"/>
        <v>395</v>
      </c>
      <c r="R69" s="152">
        <f t="shared" si="10"/>
        <v>395</v>
      </c>
      <c r="S69" s="152">
        <f t="shared" si="11"/>
        <v>395</v>
      </c>
      <c r="T69" s="152">
        <f t="shared" si="12"/>
        <v>395</v>
      </c>
    </row>
    <row r="70" spans="1:20" ht="16.5" hidden="1" thickBot="1">
      <c r="A70">
        <v>2</v>
      </c>
      <c r="E70" s="125">
        <v>0.6</v>
      </c>
      <c r="F70" s="134">
        <f t="shared" si="7"/>
        <v>455</v>
      </c>
      <c r="G70" s="134">
        <v>455</v>
      </c>
      <c r="H70" s="230">
        <v>260</v>
      </c>
      <c r="I70" s="153">
        <v>260</v>
      </c>
      <c r="J70" s="137">
        <v>203</v>
      </c>
      <c r="K70" s="155">
        <v>190</v>
      </c>
      <c r="L70" s="226">
        <v>160</v>
      </c>
      <c r="M70" s="227">
        <v>645</v>
      </c>
      <c r="N70" s="228">
        <v>450</v>
      </c>
      <c r="O70" s="152">
        <f t="shared" si="8"/>
        <v>645</v>
      </c>
      <c r="P70" s="152">
        <f t="shared" si="13"/>
        <v>455</v>
      </c>
      <c r="Q70" s="152">
        <f t="shared" si="9"/>
        <v>455</v>
      </c>
      <c r="R70" s="152">
        <f t="shared" si="10"/>
        <v>455</v>
      </c>
      <c r="S70" s="152">
        <f t="shared" si="11"/>
        <v>455</v>
      </c>
      <c r="T70" s="152">
        <f t="shared" si="12"/>
        <v>455</v>
      </c>
    </row>
    <row r="71" spans="1:20" ht="16.5" hidden="1" thickBot="1">
      <c r="A71">
        <v>2</v>
      </c>
      <c r="E71" s="125">
        <v>0.7</v>
      </c>
      <c r="F71" s="134">
        <f t="shared" si="7"/>
        <v>430</v>
      </c>
      <c r="G71" s="134">
        <v>430</v>
      </c>
      <c r="H71" s="230">
        <v>285</v>
      </c>
      <c r="I71" s="153">
        <v>365</v>
      </c>
      <c r="J71" s="137">
        <v>230</v>
      </c>
      <c r="K71" s="155">
        <v>190</v>
      </c>
      <c r="L71" s="226">
        <v>160</v>
      </c>
      <c r="M71" s="227">
        <v>610</v>
      </c>
      <c r="N71" s="228">
        <v>465</v>
      </c>
      <c r="O71" s="152">
        <f t="shared" si="8"/>
        <v>610</v>
      </c>
      <c r="P71" s="152">
        <f t="shared" si="13"/>
        <v>430</v>
      </c>
      <c r="Q71" s="152">
        <f t="shared" si="9"/>
        <v>430</v>
      </c>
      <c r="R71" s="152">
        <f t="shared" si="10"/>
        <v>430</v>
      </c>
      <c r="S71" s="152">
        <f t="shared" si="11"/>
        <v>430</v>
      </c>
      <c r="T71" s="152">
        <f t="shared" si="12"/>
        <v>430</v>
      </c>
    </row>
    <row r="72" spans="1:20" ht="16.5" hidden="1" thickBot="1">
      <c r="A72">
        <v>2</v>
      </c>
      <c r="E72" s="125">
        <v>0.8</v>
      </c>
      <c r="F72" s="134">
        <f t="shared" si="7"/>
        <v>515</v>
      </c>
      <c r="G72" s="134">
        <v>515</v>
      </c>
      <c r="H72" s="230">
        <v>345</v>
      </c>
      <c r="I72" s="136">
        <v>395</v>
      </c>
      <c r="J72" s="137">
        <v>340</v>
      </c>
      <c r="K72" s="156">
        <v>280</v>
      </c>
      <c r="L72" s="232">
        <v>180</v>
      </c>
      <c r="M72" s="227">
        <v>645</v>
      </c>
      <c r="N72" s="228">
        <v>475</v>
      </c>
      <c r="O72" s="152">
        <f t="shared" si="8"/>
        <v>645</v>
      </c>
      <c r="P72" s="152">
        <f t="shared" si="13"/>
        <v>515</v>
      </c>
      <c r="Q72" s="152">
        <f t="shared" si="9"/>
        <v>515</v>
      </c>
      <c r="R72" s="152">
        <f t="shared" si="10"/>
        <v>515</v>
      </c>
      <c r="S72" s="152">
        <f t="shared" si="11"/>
        <v>515</v>
      </c>
      <c r="T72" s="152">
        <f t="shared" si="12"/>
        <v>515</v>
      </c>
    </row>
    <row r="73" spans="1:20" ht="16.5" hidden="1" thickBot="1">
      <c r="A73">
        <v>2</v>
      </c>
      <c r="E73" s="125">
        <v>1</v>
      </c>
      <c r="F73" s="134">
        <f t="shared" si="7"/>
        <v>635</v>
      </c>
      <c r="G73" s="134">
        <v>635</v>
      </c>
      <c r="H73" s="230">
        <v>435</v>
      </c>
      <c r="I73" s="136">
        <v>410</v>
      </c>
      <c r="J73" s="137">
        <v>330</v>
      </c>
      <c r="K73" s="156">
        <v>310</v>
      </c>
      <c r="L73" s="232">
        <v>180</v>
      </c>
      <c r="M73" s="227">
        <v>690</v>
      </c>
      <c r="N73" s="228">
        <v>490</v>
      </c>
      <c r="O73" s="152">
        <f t="shared" si="8"/>
        <v>690</v>
      </c>
      <c r="P73" s="152">
        <f t="shared" si="13"/>
        <v>635</v>
      </c>
      <c r="Q73" s="152">
        <f t="shared" si="9"/>
        <v>635</v>
      </c>
      <c r="R73" s="152">
        <f t="shared" si="10"/>
        <v>635</v>
      </c>
      <c r="S73" s="152">
        <f t="shared" si="11"/>
        <v>635</v>
      </c>
      <c r="T73" s="152">
        <f t="shared" si="12"/>
        <v>635</v>
      </c>
    </row>
    <row r="74" spans="1:20" ht="16.5" hidden="1" thickBot="1">
      <c r="A74">
        <v>2</v>
      </c>
      <c r="E74" s="125">
        <v>1.1</v>
      </c>
      <c r="F74" s="134">
        <f t="shared" si="7"/>
        <v>710</v>
      </c>
      <c r="G74" s="134">
        <v>710</v>
      </c>
      <c r="H74" s="230">
        <v>495</v>
      </c>
      <c r="I74" s="136">
        <v>430</v>
      </c>
      <c r="J74" s="137">
        <v>330</v>
      </c>
      <c r="K74" s="156">
        <v>320</v>
      </c>
      <c r="L74" s="232">
        <v>190</v>
      </c>
      <c r="M74" s="227">
        <v>720</v>
      </c>
      <c r="N74" s="228">
        <v>505</v>
      </c>
      <c r="O74" s="152">
        <f t="shared" si="8"/>
        <v>720</v>
      </c>
      <c r="P74" s="152">
        <f t="shared" si="13"/>
        <v>710</v>
      </c>
      <c r="Q74" s="152">
        <f t="shared" si="9"/>
        <v>710</v>
      </c>
      <c r="R74" s="152">
        <f t="shared" si="10"/>
        <v>710</v>
      </c>
      <c r="S74" s="152">
        <f t="shared" si="11"/>
        <v>710</v>
      </c>
      <c r="T74" s="152">
        <f t="shared" si="12"/>
        <v>710</v>
      </c>
    </row>
    <row r="75" spans="1:20" ht="16.5" hidden="1" thickBot="1">
      <c r="A75">
        <v>2</v>
      </c>
      <c r="E75" s="126">
        <v>1.2</v>
      </c>
      <c r="F75" s="134">
        <f t="shared" si="7"/>
        <v>730</v>
      </c>
      <c r="G75" s="134">
        <v>730</v>
      </c>
      <c r="H75" s="230">
        <v>510</v>
      </c>
      <c r="I75" s="136">
        <v>480</v>
      </c>
      <c r="J75" s="137">
        <v>335</v>
      </c>
      <c r="K75" s="156">
        <v>330</v>
      </c>
      <c r="L75" s="232">
        <v>190</v>
      </c>
      <c r="M75" s="227">
        <v>730</v>
      </c>
      <c r="N75" s="228">
        <v>510</v>
      </c>
      <c r="O75" s="152">
        <f t="shared" si="8"/>
        <v>730</v>
      </c>
      <c r="P75" s="152">
        <f t="shared" si="13"/>
        <v>730</v>
      </c>
      <c r="Q75" s="152">
        <f t="shared" si="9"/>
        <v>730</v>
      </c>
      <c r="R75" s="152">
        <f t="shared" si="10"/>
        <v>730</v>
      </c>
      <c r="S75" s="152">
        <f t="shared" si="11"/>
        <v>730</v>
      </c>
      <c r="T75" s="152">
        <f t="shared" si="12"/>
        <v>730</v>
      </c>
    </row>
    <row r="76" spans="1:20" s="258" customFormat="1" ht="15.75" hidden="1">
      <c r="A76">
        <v>2</v>
      </c>
      <c r="E76" s="259"/>
      <c r="F76" s="164"/>
      <c r="G76" s="164"/>
      <c r="H76" s="260"/>
      <c r="I76" s="261"/>
      <c r="J76" s="261"/>
      <c r="K76" s="164"/>
      <c r="L76" s="11"/>
      <c r="M76" s="135"/>
      <c r="N76" s="135"/>
      <c r="O76" s="135"/>
      <c r="P76" s="135"/>
      <c r="Q76" s="135"/>
      <c r="R76" s="135"/>
      <c r="S76" s="135"/>
      <c r="T76" s="135"/>
    </row>
    <row r="77" spans="1:20" s="258" customFormat="1" ht="15.75" hidden="1">
      <c r="A77">
        <v>2</v>
      </c>
      <c r="E77" s="259"/>
      <c r="F77" s="164" t="s">
        <v>411</v>
      </c>
      <c r="G77" s="164">
        <f>LOOKUP(F92,porantvar2,cod06cargosvar2)</f>
        <v>730</v>
      </c>
      <c r="H77" s="260"/>
      <c r="I77" s="261"/>
      <c r="J77" s="261"/>
      <c r="K77" s="164"/>
      <c r="L77" s="11"/>
      <c r="M77" s="135"/>
      <c r="N77" s="135"/>
      <c r="O77" s="135"/>
      <c r="P77" s="135"/>
      <c r="Q77" s="135"/>
      <c r="R77" s="135"/>
      <c r="S77" s="135"/>
      <c r="T77" s="135"/>
    </row>
    <row r="78" spans="1:16" s="263" customFormat="1" ht="15.75" hidden="1">
      <c r="A78">
        <v>2</v>
      </c>
      <c r="C78" s="259"/>
      <c r="F78" s="164"/>
      <c r="G78" s="135"/>
      <c r="H78" s="75"/>
      <c r="I78" s="75"/>
      <c r="J78" s="164"/>
      <c r="K78" s="11"/>
      <c r="L78" s="135"/>
      <c r="M78" s="135"/>
      <c r="N78" s="135"/>
      <c r="O78" s="135"/>
      <c r="P78" s="135"/>
    </row>
    <row r="79" spans="1:15" ht="12.75">
      <c r="A79" s="277">
        <v>2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</row>
    <row r="80" spans="1:17" ht="20.25">
      <c r="A80" s="277">
        <v>2</v>
      </c>
      <c r="B80" s="180"/>
      <c r="C80" s="186"/>
      <c r="D80" s="186"/>
      <c r="E80" s="80" t="s">
        <v>391</v>
      </c>
      <c r="F80" s="10"/>
      <c r="G80" s="10"/>
      <c r="H80" s="186"/>
      <c r="I80" s="186"/>
      <c r="J80" s="186"/>
      <c r="K80" s="186"/>
      <c r="L80" s="186"/>
      <c r="M80" s="186"/>
      <c r="N80" s="179"/>
      <c r="O80" s="287"/>
      <c r="P80" s="164"/>
      <c r="Q80" s="164"/>
    </row>
    <row r="81" spans="1:17" ht="12.75">
      <c r="A81" s="277">
        <v>2</v>
      </c>
      <c r="B81" s="180"/>
      <c r="C81" s="180"/>
      <c r="D81" s="180"/>
      <c r="E81" s="180"/>
      <c r="F81" s="180"/>
      <c r="G81" s="180"/>
      <c r="H81" s="279"/>
      <c r="I81" s="180"/>
      <c r="J81" s="180"/>
      <c r="K81" s="180"/>
      <c r="L81" s="180"/>
      <c r="M81" s="180"/>
      <c r="N81" s="179"/>
      <c r="O81" s="287"/>
      <c r="P81" s="164"/>
      <c r="Q81" s="164"/>
    </row>
    <row r="82" spans="1:17" ht="12.75">
      <c r="A82" s="277">
        <v>2</v>
      </c>
      <c r="B82" s="277"/>
      <c r="C82" s="277"/>
      <c r="D82" s="44" t="s">
        <v>37</v>
      </c>
      <c r="E82" s="44" t="s">
        <v>341</v>
      </c>
      <c r="F82" s="44" t="s">
        <v>342</v>
      </c>
      <c r="G82" s="44" t="s">
        <v>343</v>
      </c>
      <c r="H82" s="44" t="s">
        <v>344</v>
      </c>
      <c r="I82" s="100" t="s">
        <v>410</v>
      </c>
      <c r="J82" s="180"/>
      <c r="K82" s="180"/>
      <c r="L82" s="180"/>
      <c r="M82" s="180"/>
      <c r="N82" s="179"/>
      <c r="O82" s="287"/>
      <c r="P82" s="164"/>
      <c r="Q82" s="164"/>
    </row>
    <row r="83" spans="1:17" ht="16.5" thickBot="1">
      <c r="A83" s="277">
        <v>2</v>
      </c>
      <c r="B83" s="277"/>
      <c r="C83" s="277"/>
      <c r="D83" s="117">
        <v>749</v>
      </c>
      <c r="E83" s="81">
        <f>LOOKUP(D83,[0]!numerocargo,[0]!puntosbasicoscargo)</f>
        <v>971</v>
      </c>
      <c r="F83" s="81">
        <f>LOOKUP(D83,[0]!numerocargo,[0]!tardifcargo)</f>
        <v>0</v>
      </c>
      <c r="G83" s="81">
        <f>LOOKUP(D83,[0]!numerocargo,[0]!proljorcargo)</f>
        <v>0</v>
      </c>
      <c r="H83" s="81">
        <f>LOOKUP(D83,[0]!numerocargo,[0]!jorcomcargo)</f>
        <v>0</v>
      </c>
      <c r="I83" s="44">
        <f>LOOKUP(D83,Cargos!A3:A314,puntoscompbasico)</f>
        <v>170</v>
      </c>
      <c r="J83" s="180"/>
      <c r="K83" s="180"/>
      <c r="L83" s="180"/>
      <c r="M83" s="180"/>
      <c r="N83" s="179"/>
      <c r="O83" s="287"/>
      <c r="P83" s="164"/>
      <c r="Q83" s="164"/>
    </row>
    <row r="84" spans="1:17" ht="13.5" thickBot="1">
      <c r="A84" s="277">
        <v>2</v>
      </c>
      <c r="B84" s="277"/>
      <c r="C84" s="277"/>
      <c r="D84" s="82" t="s">
        <v>38</v>
      </c>
      <c r="E84" s="83" t="str">
        <f>LOOKUP(D83,[0]!numerocargo,[0]!nombrecargo)</f>
        <v> MAESTRO DE GRADO</v>
      </c>
      <c r="F84" s="42"/>
      <c r="G84" s="42"/>
      <c r="H84" s="62"/>
      <c r="I84" s="180"/>
      <c r="J84" s="180"/>
      <c r="K84" s="180"/>
      <c r="L84" s="180"/>
      <c r="M84" s="180"/>
      <c r="N84" s="179"/>
      <c r="O84" s="287"/>
      <c r="P84" s="164"/>
      <c r="Q84" s="164"/>
    </row>
    <row r="85" spans="1:17" ht="13.5" thickBot="1">
      <c r="A85" s="277">
        <v>2</v>
      </c>
      <c r="B85" s="277"/>
      <c r="C85" s="277"/>
      <c r="D85" s="278"/>
      <c r="E85" s="279"/>
      <c r="F85" s="180"/>
      <c r="G85" s="180"/>
      <c r="H85" s="180"/>
      <c r="I85" s="128" t="s">
        <v>365</v>
      </c>
      <c r="J85" s="285"/>
      <c r="K85" s="285"/>
      <c r="L85" s="285"/>
      <c r="M85" s="180"/>
      <c r="N85" s="180"/>
      <c r="O85" s="180"/>
      <c r="P85" s="10"/>
      <c r="Q85" s="10"/>
    </row>
    <row r="86" spans="1:17" ht="19.5" thickBot="1" thickTop="1">
      <c r="A86" s="277">
        <v>2</v>
      </c>
      <c r="B86" s="277"/>
      <c r="C86" s="277"/>
      <c r="D86" s="165" t="s">
        <v>358</v>
      </c>
      <c r="E86" s="122"/>
      <c r="F86" s="122"/>
      <c r="G86" s="122"/>
      <c r="H86" s="166">
        <v>0</v>
      </c>
      <c r="I86" s="129">
        <f>H86/120</f>
        <v>0</v>
      </c>
      <c r="J86" s="279"/>
      <c r="K86" s="279"/>
      <c r="L86" s="279"/>
      <c r="M86" s="180"/>
      <c r="N86" s="180"/>
      <c r="O86" s="180"/>
      <c r="P86" s="10"/>
      <c r="Q86" s="10"/>
    </row>
    <row r="87" spans="1:17" ht="17.25" thickBot="1" thickTop="1">
      <c r="A87" s="277">
        <v>2</v>
      </c>
      <c r="B87" s="278"/>
      <c r="C87" s="279"/>
      <c r="D87" s="180"/>
      <c r="E87" s="180"/>
      <c r="F87" s="383"/>
      <c r="G87" s="180"/>
      <c r="H87" s="279"/>
      <c r="I87" s="180"/>
      <c r="J87" s="180"/>
      <c r="K87" s="180"/>
      <c r="L87" s="180"/>
      <c r="M87" s="180"/>
      <c r="N87" s="180"/>
      <c r="O87" s="180"/>
      <c r="P87" s="10"/>
      <c r="Q87" s="10"/>
    </row>
    <row r="88" spans="1:17" ht="17.25" thickBot="1" thickTop="1">
      <c r="A88" s="277">
        <v>2</v>
      </c>
      <c r="B88" s="278"/>
      <c r="C88" s="277"/>
      <c r="D88" s="120" t="s">
        <v>367</v>
      </c>
      <c r="E88" s="132">
        <v>0</v>
      </c>
      <c r="F88" s="383"/>
      <c r="G88" s="180"/>
      <c r="H88" s="279"/>
      <c r="I88" s="180"/>
      <c r="J88" s="180"/>
      <c r="K88" s="180"/>
      <c r="L88" s="180"/>
      <c r="M88" s="180"/>
      <c r="N88" s="180"/>
      <c r="O88" s="180"/>
      <c r="P88" s="10"/>
      <c r="Q88" s="10"/>
    </row>
    <row r="89" spans="1:17" ht="13.5" thickTop="1">
      <c r="A89" s="277">
        <v>2</v>
      </c>
      <c r="B89" s="278"/>
      <c r="C89" s="279"/>
      <c r="D89" s="180"/>
      <c r="E89" s="180"/>
      <c r="F89" s="180"/>
      <c r="G89" s="180"/>
      <c r="H89" s="279"/>
      <c r="I89" s="180"/>
      <c r="J89" s="180"/>
      <c r="K89" s="180"/>
      <c r="L89" s="180"/>
      <c r="M89" s="180"/>
      <c r="N89" s="180"/>
      <c r="O89" s="180"/>
      <c r="P89" s="10"/>
      <c r="Q89" s="10"/>
    </row>
    <row r="90" spans="1:17" ht="13.5" thickBot="1">
      <c r="A90" s="277">
        <v>2</v>
      </c>
      <c r="B90" s="180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0"/>
      <c r="Q90" s="10"/>
    </row>
    <row r="91" spans="1:17" ht="16.5" thickBot="1">
      <c r="A91" s="277">
        <v>2</v>
      </c>
      <c r="B91" s="180"/>
      <c r="C91" s="186"/>
      <c r="D91" s="84" t="s">
        <v>13</v>
      </c>
      <c r="E91" s="42"/>
      <c r="F91" s="85">
        <f>E83*indiceoct08</f>
        <v>680.8652000000001</v>
      </c>
      <c r="G91" s="186"/>
      <c r="H91" s="186"/>
      <c r="I91" s="186"/>
      <c r="J91" s="186"/>
      <c r="K91" s="186"/>
      <c r="L91" s="186"/>
      <c r="M91" s="184"/>
      <c r="N91" s="184"/>
      <c r="O91" s="186"/>
      <c r="P91" s="10"/>
      <c r="Q91" s="10"/>
    </row>
    <row r="92" spans="1:17" ht="16.5" thickBot="1">
      <c r="A92" s="277">
        <v>2</v>
      </c>
      <c r="B92" s="180"/>
      <c r="C92" s="186"/>
      <c r="D92" s="181" t="s">
        <v>14</v>
      </c>
      <c r="E92" s="182"/>
      <c r="F92" s="183">
        <v>1.2</v>
      </c>
      <c r="G92" s="74" t="s">
        <v>15</v>
      </c>
      <c r="H92" s="74"/>
      <c r="I92" s="186"/>
      <c r="J92" s="186"/>
      <c r="K92" s="186"/>
      <c r="L92" s="186"/>
      <c r="M92" s="186"/>
      <c r="N92" s="184"/>
      <c r="O92" s="186"/>
      <c r="P92" s="10"/>
      <c r="Q92" s="10"/>
    </row>
    <row r="93" spans="1:17" ht="15.75">
      <c r="A93" s="277">
        <v>2</v>
      </c>
      <c r="B93" s="180"/>
      <c r="C93" s="186"/>
      <c r="D93" s="180"/>
      <c r="E93" s="180"/>
      <c r="F93" s="185"/>
      <c r="G93" s="186"/>
      <c r="H93" s="186"/>
      <c r="I93" s="186"/>
      <c r="J93" s="186"/>
      <c r="K93" s="186"/>
      <c r="L93" s="186"/>
      <c r="M93" s="186"/>
      <c r="N93" s="187"/>
      <c r="O93" s="186"/>
      <c r="P93" s="10"/>
      <c r="Q93" s="10"/>
    </row>
    <row r="94" spans="1:17" ht="18.75" thickBot="1">
      <c r="A94" s="277">
        <v>2</v>
      </c>
      <c r="B94" s="180"/>
      <c r="C94" s="186"/>
      <c r="D94" s="87" t="s">
        <v>16</v>
      </c>
      <c r="E94" s="87"/>
      <c r="F94" s="88">
        <f>E83</f>
        <v>971</v>
      </c>
      <c r="G94" s="10" t="s">
        <v>17</v>
      </c>
      <c r="H94" s="186"/>
      <c r="I94" s="86">
        <f>H83+G83</f>
        <v>0</v>
      </c>
      <c r="J94" s="184"/>
      <c r="K94" s="184"/>
      <c r="L94" s="184"/>
      <c r="M94" s="180"/>
      <c r="N94" s="186"/>
      <c r="O94" s="186"/>
      <c r="P94" s="10"/>
      <c r="Q94" s="10"/>
    </row>
    <row r="95" spans="1:17" ht="15.75">
      <c r="A95" s="277">
        <v>2</v>
      </c>
      <c r="B95" s="180"/>
      <c r="C95" s="186"/>
      <c r="D95" s="2"/>
      <c r="E95" s="2"/>
      <c r="F95" s="170"/>
      <c r="G95" s="186"/>
      <c r="H95" s="186"/>
      <c r="I95" s="180"/>
      <c r="J95" s="180"/>
      <c r="K95" s="180"/>
      <c r="L95" s="180"/>
      <c r="M95" s="381"/>
      <c r="N95" s="186"/>
      <c r="O95" s="186"/>
      <c r="P95" s="10"/>
      <c r="Q95" s="10"/>
    </row>
    <row r="96" spans="1:15" ht="15.75">
      <c r="A96" s="277">
        <v>2</v>
      </c>
      <c r="B96" s="180"/>
      <c r="C96" s="186"/>
      <c r="D96" s="10"/>
      <c r="E96" s="157" t="s">
        <v>426</v>
      </c>
      <c r="F96" s="10"/>
      <c r="G96" s="277"/>
      <c r="H96" s="277"/>
      <c r="I96" s="277"/>
      <c r="J96" s="277"/>
      <c r="K96" s="277"/>
      <c r="L96" s="277"/>
      <c r="M96" s="277"/>
      <c r="N96" s="277"/>
      <c r="O96" s="277"/>
    </row>
    <row r="97" spans="1:15" ht="12.75">
      <c r="A97" s="277">
        <v>2</v>
      </c>
      <c r="B97" s="180"/>
      <c r="C97" s="277"/>
      <c r="D97" s="17">
        <v>400</v>
      </c>
      <c r="E97" s="17" t="s">
        <v>18</v>
      </c>
      <c r="F97" s="89">
        <f>punbasjubvarios2*indiceoct08*0.82*frac2</f>
        <v>0</v>
      </c>
      <c r="G97" s="277"/>
      <c r="H97" s="277"/>
      <c r="I97" s="277"/>
      <c r="J97" s="277"/>
      <c r="K97" s="277"/>
      <c r="L97" s="277"/>
      <c r="M97" s="277"/>
      <c r="N97" s="277"/>
      <c r="O97" s="277"/>
    </row>
    <row r="98" spans="1:15" ht="12.75">
      <c r="A98" s="277">
        <v>2</v>
      </c>
      <c r="B98" s="180"/>
      <c r="C98" s="277"/>
      <c r="D98" s="17">
        <v>542</v>
      </c>
      <c r="E98" s="17" t="s">
        <v>430</v>
      </c>
      <c r="F98" s="244">
        <f>compbasicovarios2*indiceoct08*0.82*frac2</f>
        <v>0</v>
      </c>
      <c r="G98" s="277"/>
      <c r="H98" s="277"/>
      <c r="I98" s="277"/>
      <c r="J98" s="277"/>
      <c r="K98" s="277"/>
      <c r="L98" s="277"/>
      <c r="M98" s="277"/>
      <c r="N98" s="277"/>
      <c r="O98" s="277"/>
    </row>
    <row r="99" spans="1:7" ht="12.75" hidden="1">
      <c r="A99" s="277">
        <v>2</v>
      </c>
      <c r="B99" s="180"/>
      <c r="C99" s="277"/>
      <c r="D99" s="17">
        <v>404</v>
      </c>
      <c r="E99" s="17" t="s">
        <v>346</v>
      </c>
      <c r="F99" s="89">
        <f>F83*indiceoct08*0.82*frac2</f>
        <v>0</v>
      </c>
      <c r="G99" s="277"/>
    </row>
    <row r="100" spans="1:7" ht="12.75" hidden="1">
      <c r="A100" s="277">
        <v>2</v>
      </c>
      <c r="B100" s="180"/>
      <c r="C100" s="277"/>
      <c r="D100" s="17">
        <v>406</v>
      </c>
      <c r="E100" s="17" t="s">
        <v>19</v>
      </c>
      <c r="F100" s="89">
        <f>(F97+F98+F99+F102)*F92</f>
        <v>0</v>
      </c>
      <c r="G100" s="277"/>
    </row>
    <row r="101" spans="1:7" ht="12.75" hidden="1">
      <c r="A101" s="277">
        <v>2</v>
      </c>
      <c r="B101" s="180"/>
      <c r="C101" s="277"/>
      <c r="D101" s="17">
        <v>408</v>
      </c>
      <c r="E101" s="17" t="s">
        <v>366</v>
      </c>
      <c r="F101" s="89">
        <f>(F97+F98+F99+F102)*E88</f>
        <v>0</v>
      </c>
      <c r="G101" s="277"/>
    </row>
    <row r="102" spans="1:7" ht="12.75" hidden="1">
      <c r="A102" s="277">
        <v>2</v>
      </c>
      <c r="B102" s="180"/>
      <c r="C102" s="277"/>
      <c r="D102" s="17">
        <v>416</v>
      </c>
      <c r="E102" s="90" t="s">
        <v>347</v>
      </c>
      <c r="F102" s="89">
        <f>puntosproljorvarios2*proljoroct08*0.82*frac2</f>
        <v>0</v>
      </c>
      <c r="G102" s="277"/>
    </row>
    <row r="103" spans="1:7" ht="12.75" hidden="1">
      <c r="A103" s="277">
        <v>2</v>
      </c>
      <c r="B103" s="180"/>
      <c r="C103" s="277"/>
      <c r="D103" s="17">
        <v>432</v>
      </c>
      <c r="E103" s="17" t="s">
        <v>364</v>
      </c>
      <c r="F103" s="89">
        <f>cod06sep07varios2*0.82*frac2</f>
        <v>0</v>
      </c>
      <c r="G103" s="277"/>
    </row>
    <row r="104" spans="1:7" ht="12.75" hidden="1">
      <c r="A104" s="277">
        <v>2</v>
      </c>
      <c r="B104" s="180"/>
      <c r="C104" s="277"/>
      <c r="D104" s="17">
        <v>434</v>
      </c>
      <c r="E104" s="17" t="s">
        <v>345</v>
      </c>
      <c r="F104" s="89">
        <f>(F97+F98+F99+F100+F102+F103+F101)*0.07*0.95</f>
        <v>0</v>
      </c>
      <c r="G104" s="277"/>
    </row>
    <row r="105" spans="1:7" ht="12.75" hidden="1">
      <c r="A105" s="277">
        <v>2</v>
      </c>
      <c r="B105" s="180"/>
      <c r="C105" s="277"/>
      <c r="D105" s="17"/>
      <c r="E105" s="91"/>
      <c r="F105" s="171"/>
      <c r="G105" s="277"/>
    </row>
    <row r="106" spans="1:7" ht="13.5" hidden="1" thickBot="1">
      <c r="A106" s="277">
        <v>2</v>
      </c>
      <c r="B106" s="180"/>
      <c r="C106" s="277"/>
      <c r="D106" s="17"/>
      <c r="E106" s="91" t="s">
        <v>362</v>
      </c>
      <c r="F106" s="118">
        <v>0</v>
      </c>
      <c r="G106" s="277"/>
    </row>
    <row r="107" spans="1:7" ht="16.5" hidden="1" thickBot="1">
      <c r="A107" s="277">
        <v>2</v>
      </c>
      <c r="B107" s="180"/>
      <c r="C107" s="277"/>
      <c r="D107" s="92"/>
      <c r="E107" s="93" t="s">
        <v>20</v>
      </c>
      <c r="F107" s="94">
        <f>SUM(F97:F106)</f>
        <v>0</v>
      </c>
      <c r="G107" s="277"/>
    </row>
    <row r="108" spans="1:7" ht="12.75" hidden="1">
      <c r="A108" s="277">
        <v>2</v>
      </c>
      <c r="B108" s="180"/>
      <c r="C108" s="277"/>
      <c r="D108" s="17">
        <v>703</v>
      </c>
      <c r="E108" s="95" t="s">
        <v>348</v>
      </c>
      <c r="F108" s="96">
        <f>(F107-F106)*0.0025</f>
        <v>0</v>
      </c>
      <c r="G108" s="277"/>
    </row>
    <row r="109" spans="1:7" ht="12.75" hidden="1">
      <c r="A109" s="277">
        <v>2</v>
      </c>
      <c r="B109" s="180"/>
      <c r="C109" s="277"/>
      <c r="D109" s="18">
        <v>707</v>
      </c>
      <c r="E109" s="97" t="s">
        <v>22</v>
      </c>
      <c r="F109" s="16">
        <f>(F107-F106)*0.03</f>
        <v>0</v>
      </c>
      <c r="G109" s="277"/>
    </row>
    <row r="110" spans="1:7" ht="12.75" hidden="1">
      <c r="A110" s="277">
        <v>2</v>
      </c>
      <c r="B110" s="180"/>
      <c r="C110" s="277"/>
      <c r="D110" s="18">
        <v>709</v>
      </c>
      <c r="E110" s="97" t="s">
        <v>23</v>
      </c>
      <c r="F110" s="16">
        <f>(F107-F106)*0.0213</f>
        <v>0</v>
      </c>
      <c r="G110" s="277"/>
    </row>
    <row r="111" spans="1:7" ht="12.75" hidden="1">
      <c r="A111" s="277">
        <v>2</v>
      </c>
      <c r="B111" s="180"/>
      <c r="C111" s="277"/>
      <c r="D111" s="15">
        <v>710</v>
      </c>
      <c r="E111" s="97" t="s">
        <v>24</v>
      </c>
      <c r="F111" s="16">
        <f>(F107-F106)*0.00754</f>
        <v>0</v>
      </c>
      <c r="G111" s="277"/>
    </row>
    <row r="112" spans="1:7" ht="12.75" hidden="1">
      <c r="A112" s="277">
        <v>2</v>
      </c>
      <c r="B112" s="180"/>
      <c r="C112" s="277"/>
      <c r="D112" s="15">
        <v>713</v>
      </c>
      <c r="E112" s="97" t="s">
        <v>25</v>
      </c>
      <c r="F112" s="16">
        <f>(F107-F106)*0.007</f>
        <v>0</v>
      </c>
      <c r="G112" s="277"/>
    </row>
    <row r="113" spans="1:7" ht="13.5" hidden="1" thickBot="1">
      <c r="A113" s="277">
        <v>2</v>
      </c>
      <c r="B113" s="180"/>
      <c r="C113" s="277"/>
      <c r="D113" s="15"/>
      <c r="E113" s="98" t="s">
        <v>26</v>
      </c>
      <c r="F113" s="48">
        <v>0</v>
      </c>
      <c r="G113" s="277"/>
    </row>
    <row r="114" spans="1:7" ht="16.5" hidden="1" thickBot="1">
      <c r="A114" s="277">
        <v>2</v>
      </c>
      <c r="B114" s="180"/>
      <c r="C114" s="277"/>
      <c r="D114" s="99"/>
      <c r="E114" s="93" t="s">
        <v>27</v>
      </c>
      <c r="F114" s="94">
        <f>SUM(F108:F113)</f>
        <v>0</v>
      </c>
      <c r="G114" s="277"/>
    </row>
    <row r="115" spans="1:7" ht="13.5" hidden="1" thickBot="1">
      <c r="A115" s="277">
        <v>2</v>
      </c>
      <c r="B115" s="180"/>
      <c r="C115" s="277"/>
      <c r="D115" s="100"/>
      <c r="E115" s="101"/>
      <c r="F115" s="102"/>
      <c r="G115" s="277"/>
    </row>
    <row r="116" spans="1:7" ht="16.5" hidden="1" thickBot="1">
      <c r="A116" s="277">
        <v>2</v>
      </c>
      <c r="B116" s="186"/>
      <c r="C116" s="277"/>
      <c r="D116" s="103"/>
      <c r="E116" s="104" t="s">
        <v>28</v>
      </c>
      <c r="F116" s="105">
        <f>F107-F114</f>
        <v>0</v>
      </c>
      <c r="G116" s="277"/>
    </row>
    <row r="117" spans="1:9" s="265" customFormat="1" ht="15.75" hidden="1">
      <c r="A117" s="277">
        <v>2</v>
      </c>
      <c r="B117" s="180"/>
      <c r="C117" s="180"/>
      <c r="D117" s="2"/>
      <c r="E117" s="266"/>
      <c r="F117" s="2"/>
      <c r="G117" s="180"/>
      <c r="H117" s="2"/>
      <c r="I117" s="2"/>
    </row>
    <row r="118" spans="1:16" ht="15.75" hidden="1">
      <c r="A118" s="277">
        <v>2</v>
      </c>
      <c r="B118" s="186"/>
      <c r="C118" s="186"/>
      <c r="D118" s="4"/>
      <c r="E118" s="206"/>
      <c r="F118" s="209"/>
      <c r="G118" s="186"/>
      <c r="H118" s="4"/>
      <c r="I118" s="271"/>
      <c r="J118" s="272"/>
      <c r="K118" s="258"/>
      <c r="L118" s="267"/>
      <c r="M118" s="271"/>
      <c r="N118" s="272"/>
      <c r="O118" s="273"/>
      <c r="P118" s="274"/>
    </row>
    <row r="119" spans="1:17" ht="15.75">
      <c r="A119" s="277"/>
      <c r="B119" s="186"/>
      <c r="C119" s="280"/>
      <c r="D119" s="281"/>
      <c r="E119" s="282"/>
      <c r="F119" s="186"/>
      <c r="G119" s="280"/>
      <c r="H119" s="283"/>
      <c r="I119" s="284"/>
      <c r="J119" s="284"/>
      <c r="K119" s="284"/>
      <c r="L119" s="284"/>
      <c r="M119" s="186"/>
      <c r="N119" s="279"/>
      <c r="O119" s="180"/>
      <c r="P119" s="74"/>
      <c r="Q119" s="74"/>
    </row>
    <row r="121" spans="3:16" s="263" customFormat="1" ht="15.75" hidden="1">
      <c r="C121" s="259"/>
      <c r="F121" s="164"/>
      <c r="G121" s="135"/>
      <c r="H121" s="262"/>
      <c r="I121" s="75"/>
      <c r="J121" s="262"/>
      <c r="K121" s="264"/>
      <c r="L121" s="11"/>
      <c r="M121" s="135"/>
      <c r="N121" s="135"/>
      <c r="O121" s="135"/>
      <c r="P121" s="135"/>
    </row>
    <row r="122" s="263" customFormat="1" ht="12.75" hidden="1"/>
    <row r="123" s="263" customFormat="1" ht="12.75" hidden="1"/>
    <row r="124" spans="1:20" ht="16.5" hidden="1" thickBot="1">
      <c r="A124">
        <v>3</v>
      </c>
      <c r="F124" t="s">
        <v>398</v>
      </c>
      <c r="G124" s="10" t="s">
        <v>401</v>
      </c>
      <c r="H124" s="10" t="s">
        <v>402</v>
      </c>
      <c r="I124" s="133" t="s">
        <v>403</v>
      </c>
      <c r="J124" s="133" t="s">
        <v>404</v>
      </c>
      <c r="K124" s="133" t="s">
        <v>405</v>
      </c>
      <c r="L124" s="133" t="s">
        <v>406</v>
      </c>
      <c r="M124" s="133" t="s">
        <v>407</v>
      </c>
      <c r="N124" s="133" t="s">
        <v>408</v>
      </c>
      <c r="O124" s="148" t="s">
        <v>409</v>
      </c>
      <c r="P124" s="148">
        <v>1</v>
      </c>
      <c r="Q124" s="148">
        <v>2</v>
      </c>
      <c r="R124" s="148">
        <v>3</v>
      </c>
      <c r="S124" s="148">
        <v>4</v>
      </c>
      <c r="T124" s="148">
        <v>5</v>
      </c>
    </row>
    <row r="125" spans="1:20" ht="16.5" hidden="1" thickBot="1">
      <c r="A125">
        <v>3</v>
      </c>
      <c r="E125" s="123">
        <v>0</v>
      </c>
      <c r="F125" s="134">
        <f aca="true" t="shared" si="14" ref="F125:F136">IF(puntosproljorvarios3&lt;620,T125,O125)</f>
        <v>180</v>
      </c>
      <c r="G125" s="134">
        <v>180</v>
      </c>
      <c r="H125" s="225">
        <v>80</v>
      </c>
      <c r="I125" s="149">
        <v>0</v>
      </c>
      <c r="J125" s="150">
        <v>0</v>
      </c>
      <c r="K125" s="151">
        <v>0</v>
      </c>
      <c r="L125" s="226">
        <v>0</v>
      </c>
      <c r="M125" s="227">
        <v>180</v>
      </c>
      <c r="N125" s="228">
        <v>80</v>
      </c>
      <c r="O125" s="152">
        <f aca="true" t="shared" si="15" ref="O125:O136">IF(punbasjubvarios3&gt;971,N125,M125)</f>
        <v>180</v>
      </c>
      <c r="P125" s="152">
        <f aca="true" t="shared" si="16" ref="P125:P136">IF(punbasjubvarios3&lt;972,G125,H125)</f>
        <v>180</v>
      </c>
      <c r="Q125" s="152">
        <f aca="true" t="shared" si="17" ref="Q125:Q136">IF(punbasjubvarios3&lt;1170,P125,I125)</f>
        <v>180</v>
      </c>
      <c r="R125" s="152">
        <f aca="true" t="shared" si="18" ref="R125:R136">IF(punbasjubvarios3&lt;1401,Q125,J125)</f>
        <v>180</v>
      </c>
      <c r="S125" s="152">
        <f aca="true" t="shared" si="19" ref="S125:S135">IF(punbasjubvarios3&lt;1943,R125,K125)</f>
        <v>180</v>
      </c>
      <c r="T125" s="152">
        <f aca="true" t="shared" si="20" ref="T125:T136">IF(punbasjubvarios3&lt;=2220,S125,L125)</f>
        <v>180</v>
      </c>
    </row>
    <row r="126" spans="1:20" ht="16.5" hidden="1" thickBot="1">
      <c r="A126">
        <v>3</v>
      </c>
      <c r="E126" s="124">
        <v>0.1</v>
      </c>
      <c r="F126" s="134">
        <f t="shared" si="14"/>
        <v>195</v>
      </c>
      <c r="G126" s="134">
        <v>195</v>
      </c>
      <c r="H126" s="230">
        <v>90</v>
      </c>
      <c r="I126" s="149">
        <v>0</v>
      </c>
      <c r="J126" s="150">
        <v>0</v>
      </c>
      <c r="K126" s="151">
        <v>0</v>
      </c>
      <c r="L126" s="226">
        <v>0</v>
      </c>
      <c r="M126" s="227">
        <v>195</v>
      </c>
      <c r="N126" s="228">
        <v>90</v>
      </c>
      <c r="O126" s="152">
        <f t="shared" si="15"/>
        <v>195</v>
      </c>
      <c r="P126" s="152">
        <f t="shared" si="16"/>
        <v>195</v>
      </c>
      <c r="Q126" s="152">
        <f t="shared" si="17"/>
        <v>195</v>
      </c>
      <c r="R126" s="152">
        <f t="shared" si="18"/>
        <v>195</v>
      </c>
      <c r="S126" s="152">
        <f t="shared" si="19"/>
        <v>195</v>
      </c>
      <c r="T126" s="152">
        <f t="shared" si="20"/>
        <v>195</v>
      </c>
    </row>
    <row r="127" spans="1:20" ht="16.5" hidden="1" thickBot="1">
      <c r="A127">
        <v>3</v>
      </c>
      <c r="E127" s="125">
        <v>0.15</v>
      </c>
      <c r="F127" s="134">
        <f t="shared" si="14"/>
        <v>290</v>
      </c>
      <c r="G127" s="134">
        <v>290</v>
      </c>
      <c r="H127" s="230">
        <v>180</v>
      </c>
      <c r="I127" s="153">
        <v>240</v>
      </c>
      <c r="J127" s="154">
        <v>193</v>
      </c>
      <c r="K127" s="155">
        <v>180</v>
      </c>
      <c r="L127" s="226">
        <v>0</v>
      </c>
      <c r="M127" s="227">
        <v>330</v>
      </c>
      <c r="N127" s="228">
        <v>220</v>
      </c>
      <c r="O127" s="152">
        <f t="shared" si="15"/>
        <v>330</v>
      </c>
      <c r="P127" s="152">
        <f t="shared" si="16"/>
        <v>290</v>
      </c>
      <c r="Q127" s="152">
        <f t="shared" si="17"/>
        <v>290</v>
      </c>
      <c r="R127" s="152">
        <f t="shared" si="18"/>
        <v>290</v>
      </c>
      <c r="S127" s="152">
        <f t="shared" si="19"/>
        <v>290</v>
      </c>
      <c r="T127" s="152">
        <f t="shared" si="20"/>
        <v>290</v>
      </c>
    </row>
    <row r="128" spans="1:20" ht="16.5" hidden="1" thickBot="1">
      <c r="A128">
        <v>3</v>
      </c>
      <c r="E128" s="125">
        <v>0.3</v>
      </c>
      <c r="F128" s="134">
        <f t="shared" si="14"/>
        <v>340</v>
      </c>
      <c r="G128" s="134">
        <v>340</v>
      </c>
      <c r="H128" s="230">
        <v>195</v>
      </c>
      <c r="I128" s="153">
        <v>240</v>
      </c>
      <c r="J128" s="154">
        <v>193</v>
      </c>
      <c r="K128" s="155">
        <v>180</v>
      </c>
      <c r="L128" s="226">
        <v>0</v>
      </c>
      <c r="M128" s="227">
        <v>495</v>
      </c>
      <c r="N128" s="228">
        <v>350</v>
      </c>
      <c r="O128" s="152">
        <f t="shared" si="15"/>
        <v>495</v>
      </c>
      <c r="P128" s="152">
        <f t="shared" si="16"/>
        <v>340</v>
      </c>
      <c r="Q128" s="152">
        <f t="shared" si="17"/>
        <v>340</v>
      </c>
      <c r="R128" s="152">
        <f t="shared" si="18"/>
        <v>340</v>
      </c>
      <c r="S128" s="152">
        <f t="shared" si="19"/>
        <v>340</v>
      </c>
      <c r="T128" s="152">
        <f t="shared" si="20"/>
        <v>340</v>
      </c>
    </row>
    <row r="129" spans="1:20" ht="16.5" hidden="1" thickBot="1">
      <c r="A129">
        <v>3</v>
      </c>
      <c r="E129" s="125">
        <v>0.4</v>
      </c>
      <c r="F129" s="134">
        <f t="shared" si="14"/>
        <v>370</v>
      </c>
      <c r="G129" s="134">
        <v>370</v>
      </c>
      <c r="H129" s="230">
        <v>210</v>
      </c>
      <c r="I129" s="153">
        <v>250</v>
      </c>
      <c r="J129" s="154">
        <v>200</v>
      </c>
      <c r="K129" s="155">
        <v>180</v>
      </c>
      <c r="L129" s="226">
        <v>140</v>
      </c>
      <c r="M129" s="227">
        <v>560</v>
      </c>
      <c r="N129" s="228">
        <v>400</v>
      </c>
      <c r="O129" s="152">
        <f t="shared" si="15"/>
        <v>560</v>
      </c>
      <c r="P129" s="152">
        <f t="shared" si="16"/>
        <v>370</v>
      </c>
      <c r="Q129" s="152">
        <f t="shared" si="17"/>
        <v>370</v>
      </c>
      <c r="R129" s="152">
        <f t="shared" si="18"/>
        <v>370</v>
      </c>
      <c r="S129" s="152">
        <f t="shared" si="19"/>
        <v>370</v>
      </c>
      <c r="T129" s="152">
        <f t="shared" si="20"/>
        <v>370</v>
      </c>
    </row>
    <row r="130" spans="1:20" ht="16.5" hidden="1" thickBot="1">
      <c r="A130">
        <v>3</v>
      </c>
      <c r="E130" s="125">
        <v>0.5</v>
      </c>
      <c r="F130" s="134">
        <f t="shared" si="14"/>
        <v>395</v>
      </c>
      <c r="G130" s="134">
        <v>395</v>
      </c>
      <c r="H130" s="230">
        <v>230</v>
      </c>
      <c r="I130" s="153">
        <v>250</v>
      </c>
      <c r="J130" s="137">
        <v>200</v>
      </c>
      <c r="K130" s="155">
        <v>180</v>
      </c>
      <c r="L130" s="226">
        <v>140</v>
      </c>
      <c r="M130" s="227">
        <v>600</v>
      </c>
      <c r="N130" s="228">
        <v>435</v>
      </c>
      <c r="O130" s="152">
        <f t="shared" si="15"/>
        <v>600</v>
      </c>
      <c r="P130" s="152">
        <f t="shared" si="16"/>
        <v>395</v>
      </c>
      <c r="Q130" s="152">
        <f t="shared" si="17"/>
        <v>395</v>
      </c>
      <c r="R130" s="152">
        <f t="shared" si="18"/>
        <v>395</v>
      </c>
      <c r="S130" s="152">
        <f t="shared" si="19"/>
        <v>395</v>
      </c>
      <c r="T130" s="152">
        <f t="shared" si="20"/>
        <v>395</v>
      </c>
    </row>
    <row r="131" spans="1:20" ht="16.5" hidden="1" thickBot="1">
      <c r="A131">
        <v>3</v>
      </c>
      <c r="E131" s="125">
        <v>0.6</v>
      </c>
      <c r="F131" s="134">
        <f t="shared" si="14"/>
        <v>455</v>
      </c>
      <c r="G131" s="134">
        <v>455</v>
      </c>
      <c r="H131" s="230">
        <v>260</v>
      </c>
      <c r="I131" s="153">
        <v>260</v>
      </c>
      <c r="J131" s="137">
        <v>203</v>
      </c>
      <c r="K131" s="155">
        <v>190</v>
      </c>
      <c r="L131" s="226">
        <v>160</v>
      </c>
      <c r="M131" s="227">
        <v>645</v>
      </c>
      <c r="N131" s="228">
        <v>450</v>
      </c>
      <c r="O131" s="152">
        <f t="shared" si="15"/>
        <v>645</v>
      </c>
      <c r="P131" s="152">
        <f t="shared" si="16"/>
        <v>455</v>
      </c>
      <c r="Q131" s="152">
        <f t="shared" si="17"/>
        <v>455</v>
      </c>
      <c r="R131" s="152">
        <f t="shared" si="18"/>
        <v>455</v>
      </c>
      <c r="S131" s="152">
        <f t="shared" si="19"/>
        <v>455</v>
      </c>
      <c r="T131" s="152">
        <f t="shared" si="20"/>
        <v>455</v>
      </c>
    </row>
    <row r="132" spans="1:20" ht="16.5" hidden="1" thickBot="1">
      <c r="A132">
        <v>3</v>
      </c>
      <c r="E132" s="125">
        <v>0.7</v>
      </c>
      <c r="F132" s="134">
        <f t="shared" si="14"/>
        <v>430</v>
      </c>
      <c r="G132" s="134">
        <v>430</v>
      </c>
      <c r="H132" s="230">
        <v>285</v>
      </c>
      <c r="I132" s="153">
        <v>365</v>
      </c>
      <c r="J132" s="137">
        <v>230</v>
      </c>
      <c r="K132" s="155">
        <v>190</v>
      </c>
      <c r="L132" s="226">
        <v>160</v>
      </c>
      <c r="M132" s="227">
        <v>610</v>
      </c>
      <c r="N132" s="228">
        <v>465</v>
      </c>
      <c r="O132" s="152">
        <f t="shared" si="15"/>
        <v>610</v>
      </c>
      <c r="P132" s="152">
        <f t="shared" si="16"/>
        <v>430</v>
      </c>
      <c r="Q132" s="152">
        <f t="shared" si="17"/>
        <v>430</v>
      </c>
      <c r="R132" s="152">
        <f t="shared" si="18"/>
        <v>430</v>
      </c>
      <c r="S132" s="152">
        <f t="shared" si="19"/>
        <v>430</v>
      </c>
      <c r="T132" s="152">
        <f t="shared" si="20"/>
        <v>430</v>
      </c>
    </row>
    <row r="133" spans="1:20" ht="16.5" hidden="1" thickBot="1">
      <c r="A133">
        <v>3</v>
      </c>
      <c r="E133" s="125">
        <v>0.8</v>
      </c>
      <c r="F133" s="134">
        <f t="shared" si="14"/>
        <v>515</v>
      </c>
      <c r="G133" s="134">
        <v>515</v>
      </c>
      <c r="H133" s="230">
        <v>345</v>
      </c>
      <c r="I133" s="136">
        <v>395</v>
      </c>
      <c r="J133" s="137">
        <v>340</v>
      </c>
      <c r="K133" s="156">
        <v>280</v>
      </c>
      <c r="L133" s="232">
        <v>180</v>
      </c>
      <c r="M133" s="227">
        <v>645</v>
      </c>
      <c r="N133" s="228">
        <v>475</v>
      </c>
      <c r="O133" s="152">
        <f t="shared" si="15"/>
        <v>645</v>
      </c>
      <c r="P133" s="152">
        <f t="shared" si="16"/>
        <v>515</v>
      </c>
      <c r="Q133" s="152">
        <f t="shared" si="17"/>
        <v>515</v>
      </c>
      <c r="R133" s="152">
        <f t="shared" si="18"/>
        <v>515</v>
      </c>
      <c r="S133" s="152">
        <f t="shared" si="19"/>
        <v>515</v>
      </c>
      <c r="T133" s="152">
        <f t="shared" si="20"/>
        <v>515</v>
      </c>
    </row>
    <row r="134" spans="1:20" ht="16.5" hidden="1" thickBot="1">
      <c r="A134">
        <v>3</v>
      </c>
      <c r="E134" s="125">
        <v>1</v>
      </c>
      <c r="F134" s="134">
        <f t="shared" si="14"/>
        <v>635</v>
      </c>
      <c r="G134" s="134">
        <v>635</v>
      </c>
      <c r="H134" s="230">
        <v>435</v>
      </c>
      <c r="I134" s="136">
        <v>410</v>
      </c>
      <c r="J134" s="137">
        <v>330</v>
      </c>
      <c r="K134" s="156">
        <v>310</v>
      </c>
      <c r="L134" s="232">
        <v>180</v>
      </c>
      <c r="M134" s="227">
        <v>690</v>
      </c>
      <c r="N134" s="228">
        <v>490</v>
      </c>
      <c r="O134" s="152">
        <f t="shared" si="15"/>
        <v>690</v>
      </c>
      <c r="P134" s="152">
        <f t="shared" si="16"/>
        <v>635</v>
      </c>
      <c r="Q134" s="152">
        <f t="shared" si="17"/>
        <v>635</v>
      </c>
      <c r="R134" s="152">
        <f t="shared" si="18"/>
        <v>635</v>
      </c>
      <c r="S134" s="152">
        <f t="shared" si="19"/>
        <v>635</v>
      </c>
      <c r="T134" s="152">
        <f t="shared" si="20"/>
        <v>635</v>
      </c>
    </row>
    <row r="135" spans="1:20" ht="16.5" hidden="1" thickBot="1">
      <c r="A135">
        <v>3</v>
      </c>
      <c r="E135" s="125">
        <v>1.1</v>
      </c>
      <c r="F135" s="134">
        <f t="shared" si="14"/>
        <v>710</v>
      </c>
      <c r="G135" s="134">
        <v>710</v>
      </c>
      <c r="H135" s="230">
        <v>495</v>
      </c>
      <c r="I135" s="136">
        <v>430</v>
      </c>
      <c r="J135" s="137">
        <v>330</v>
      </c>
      <c r="K135" s="156">
        <v>320</v>
      </c>
      <c r="L135" s="232">
        <v>190</v>
      </c>
      <c r="M135" s="227">
        <v>720</v>
      </c>
      <c r="N135" s="228">
        <v>505</v>
      </c>
      <c r="O135" s="152">
        <f t="shared" si="15"/>
        <v>720</v>
      </c>
      <c r="P135" s="152">
        <f t="shared" si="16"/>
        <v>710</v>
      </c>
      <c r="Q135" s="152">
        <f t="shared" si="17"/>
        <v>710</v>
      </c>
      <c r="R135" s="152">
        <f t="shared" si="18"/>
        <v>710</v>
      </c>
      <c r="S135" s="152">
        <f t="shared" si="19"/>
        <v>710</v>
      </c>
      <c r="T135" s="152">
        <f t="shared" si="20"/>
        <v>710</v>
      </c>
    </row>
    <row r="136" spans="1:20" ht="16.5" hidden="1" thickBot="1">
      <c r="A136">
        <v>3</v>
      </c>
      <c r="E136" s="126">
        <v>1.2</v>
      </c>
      <c r="F136" s="134">
        <f t="shared" si="14"/>
        <v>730</v>
      </c>
      <c r="G136" s="134">
        <v>730</v>
      </c>
      <c r="H136" s="230">
        <v>510</v>
      </c>
      <c r="I136" s="136">
        <v>480</v>
      </c>
      <c r="J136" s="137">
        <v>335</v>
      </c>
      <c r="K136" s="156">
        <v>330</v>
      </c>
      <c r="L136" s="232">
        <v>190</v>
      </c>
      <c r="M136" s="227">
        <v>730</v>
      </c>
      <c r="N136" s="228">
        <v>510</v>
      </c>
      <c r="O136" s="152">
        <f t="shared" si="15"/>
        <v>730</v>
      </c>
      <c r="P136" s="152">
        <f t="shared" si="16"/>
        <v>730</v>
      </c>
      <c r="Q136" s="152">
        <f t="shared" si="17"/>
        <v>730</v>
      </c>
      <c r="R136" s="152">
        <f t="shared" si="18"/>
        <v>730</v>
      </c>
      <c r="S136" s="152">
        <f>IF(punbasjubvarios1&lt;1943,R136,K136)</f>
        <v>730</v>
      </c>
      <c r="T136" s="152">
        <f t="shared" si="20"/>
        <v>730</v>
      </c>
    </row>
    <row r="137" spans="1:20" s="258" customFormat="1" ht="15.75" hidden="1">
      <c r="A137">
        <v>3</v>
      </c>
      <c r="E137" s="259"/>
      <c r="F137" s="164"/>
      <c r="G137" s="164"/>
      <c r="H137" s="260"/>
      <c r="I137" s="261"/>
      <c r="J137" s="261"/>
      <c r="K137" s="164"/>
      <c r="L137" s="11"/>
      <c r="M137" s="135"/>
      <c r="N137" s="135"/>
      <c r="O137" s="135"/>
      <c r="P137" s="135"/>
      <c r="Q137" s="135"/>
      <c r="R137" s="135"/>
      <c r="S137" s="135"/>
      <c r="T137" s="135"/>
    </row>
    <row r="138" spans="1:20" s="258" customFormat="1" ht="15.75" hidden="1">
      <c r="A138">
        <v>3</v>
      </c>
      <c r="E138" s="259"/>
      <c r="F138" s="164" t="s">
        <v>412</v>
      </c>
      <c r="G138" s="164">
        <f>LOOKUP(F154,porantvar3,cod06cargosvar3)</f>
        <v>730</v>
      </c>
      <c r="H138" s="260"/>
      <c r="I138" s="261"/>
      <c r="J138" s="261"/>
      <c r="K138" s="164"/>
      <c r="L138" s="11"/>
      <c r="M138" s="135"/>
      <c r="N138" s="135"/>
      <c r="O138" s="135"/>
      <c r="P138" s="135"/>
      <c r="Q138" s="135"/>
      <c r="R138" s="135"/>
      <c r="S138" s="135"/>
      <c r="T138" s="135"/>
    </row>
    <row r="139" s="263" customFormat="1" ht="12.75" hidden="1">
      <c r="A139">
        <v>3</v>
      </c>
    </row>
    <row r="140" ht="12.75" hidden="1">
      <c r="A140">
        <v>3</v>
      </c>
    </row>
    <row r="141" spans="1:15" ht="12.75">
      <c r="A141" s="288">
        <v>3</v>
      </c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</row>
    <row r="142" spans="1:17" ht="20.25">
      <c r="A142" s="288">
        <v>3</v>
      </c>
      <c r="B142" s="189"/>
      <c r="C142" s="59"/>
      <c r="D142" s="59"/>
      <c r="E142" s="80" t="s">
        <v>392</v>
      </c>
      <c r="F142" s="10"/>
      <c r="G142" s="10"/>
      <c r="H142" s="59"/>
      <c r="I142" s="59"/>
      <c r="J142" s="59"/>
      <c r="K142" s="59"/>
      <c r="L142" s="59"/>
      <c r="M142" s="59"/>
      <c r="N142" s="188"/>
      <c r="O142" s="296"/>
      <c r="P142" s="164"/>
      <c r="Q142" s="164"/>
    </row>
    <row r="143" spans="1:17" ht="12.75">
      <c r="A143" s="288">
        <v>3</v>
      </c>
      <c r="B143" s="189"/>
      <c r="C143" s="189"/>
      <c r="D143" s="189"/>
      <c r="E143" s="189"/>
      <c r="F143" s="189"/>
      <c r="G143" s="189"/>
      <c r="H143" s="290"/>
      <c r="I143" s="189"/>
      <c r="J143" s="189"/>
      <c r="K143" s="189"/>
      <c r="L143" s="189"/>
      <c r="M143" s="189"/>
      <c r="N143" s="188"/>
      <c r="O143" s="296"/>
      <c r="P143" s="164"/>
      <c r="Q143" s="164"/>
    </row>
    <row r="144" spans="1:17" ht="12.75">
      <c r="A144" s="288">
        <v>3</v>
      </c>
      <c r="B144" s="288"/>
      <c r="C144" s="288"/>
      <c r="D144" s="44" t="s">
        <v>37</v>
      </c>
      <c r="E144" s="44" t="s">
        <v>341</v>
      </c>
      <c r="F144" s="44" t="s">
        <v>342</v>
      </c>
      <c r="G144" s="44" t="s">
        <v>343</v>
      </c>
      <c r="H144" s="44" t="s">
        <v>344</v>
      </c>
      <c r="I144" s="100" t="s">
        <v>410</v>
      </c>
      <c r="J144" s="189"/>
      <c r="K144" s="189"/>
      <c r="L144" s="189"/>
      <c r="M144" s="189"/>
      <c r="N144" s="188"/>
      <c r="O144" s="296"/>
      <c r="P144" s="164"/>
      <c r="Q144" s="164"/>
    </row>
    <row r="145" spans="1:17" ht="16.5" thickBot="1">
      <c r="A145" s="288">
        <v>3</v>
      </c>
      <c r="B145" s="288"/>
      <c r="C145" s="288"/>
      <c r="D145" s="117">
        <v>749</v>
      </c>
      <c r="E145" s="81">
        <f>LOOKUP(D145,[0]!numerocargo,[0]!puntosbasicoscargo)</f>
        <v>971</v>
      </c>
      <c r="F145" s="81">
        <f>LOOKUP(D145,[0]!numerocargo,[0]!tardifcargo)</f>
        <v>0</v>
      </c>
      <c r="G145" s="81">
        <f>LOOKUP(D145,[0]!numerocargo,[0]!proljorcargo)</f>
        <v>0</v>
      </c>
      <c r="H145" s="81">
        <f>LOOKUP(D145,[0]!numerocargo,[0]!jorcomcargo)</f>
        <v>0</v>
      </c>
      <c r="I145" s="44">
        <f>LOOKUP(D145,Cargos!A3:A314,puntoscompbasico)</f>
        <v>170</v>
      </c>
      <c r="J145" s="189"/>
      <c r="K145" s="189"/>
      <c r="L145" s="189"/>
      <c r="M145" s="189"/>
      <c r="N145" s="188"/>
      <c r="O145" s="296"/>
      <c r="P145" s="164"/>
      <c r="Q145" s="164"/>
    </row>
    <row r="146" spans="1:17" ht="13.5" thickBot="1">
      <c r="A146" s="288">
        <v>3</v>
      </c>
      <c r="B146" s="288"/>
      <c r="C146" s="288"/>
      <c r="D146" s="82" t="s">
        <v>38</v>
      </c>
      <c r="E146" s="83" t="str">
        <f>LOOKUP(D145,[0]!numerocargo,[0]!nombrecargo)</f>
        <v> MAESTRO DE GRADO</v>
      </c>
      <c r="F146" s="42"/>
      <c r="G146" s="42"/>
      <c r="H146" s="62"/>
      <c r="I146" s="189"/>
      <c r="J146" s="189"/>
      <c r="K146" s="189"/>
      <c r="L146" s="189"/>
      <c r="M146" s="189"/>
      <c r="N146" s="188"/>
      <c r="O146" s="296"/>
      <c r="P146" s="164"/>
      <c r="Q146" s="164"/>
    </row>
    <row r="147" spans="1:17" ht="13.5" thickBot="1">
      <c r="A147" s="288">
        <v>3</v>
      </c>
      <c r="B147" s="288"/>
      <c r="C147" s="288"/>
      <c r="D147" s="289"/>
      <c r="E147" s="290"/>
      <c r="F147" s="189"/>
      <c r="G147" s="189"/>
      <c r="H147" s="189"/>
      <c r="I147" s="128" t="s">
        <v>365</v>
      </c>
      <c r="J147" s="298"/>
      <c r="K147" s="298"/>
      <c r="L147" s="298"/>
      <c r="M147" s="189"/>
      <c r="N147" s="189"/>
      <c r="O147" s="189"/>
      <c r="P147" s="10"/>
      <c r="Q147" s="10"/>
    </row>
    <row r="148" spans="1:17" ht="19.5" thickBot="1" thickTop="1">
      <c r="A148" s="288">
        <v>3</v>
      </c>
      <c r="B148" s="288"/>
      <c r="C148" s="288"/>
      <c r="D148" s="165" t="s">
        <v>358</v>
      </c>
      <c r="E148" s="122"/>
      <c r="F148" s="122"/>
      <c r="G148" s="122"/>
      <c r="H148" s="166">
        <v>0</v>
      </c>
      <c r="I148" s="129">
        <f>H148/120</f>
        <v>0</v>
      </c>
      <c r="J148" s="290"/>
      <c r="K148" s="290"/>
      <c r="L148" s="290"/>
      <c r="M148" s="189"/>
      <c r="N148" s="189"/>
      <c r="O148" s="189"/>
      <c r="P148" s="10"/>
      <c r="Q148" s="10"/>
    </row>
    <row r="149" spans="1:17" ht="17.25" thickBot="1" thickTop="1">
      <c r="A149" s="288">
        <v>3</v>
      </c>
      <c r="B149" s="289"/>
      <c r="C149" s="290"/>
      <c r="D149" s="189"/>
      <c r="E149" s="189"/>
      <c r="F149" s="384"/>
      <c r="G149" s="189"/>
      <c r="H149" s="290"/>
      <c r="I149" s="189"/>
      <c r="J149" s="189"/>
      <c r="K149" s="189"/>
      <c r="L149" s="189"/>
      <c r="M149" s="189"/>
      <c r="N149" s="189"/>
      <c r="O149" s="189"/>
      <c r="P149" s="10"/>
      <c r="Q149" s="10"/>
    </row>
    <row r="150" spans="1:17" ht="17.25" thickBot="1" thickTop="1">
      <c r="A150" s="288">
        <v>3</v>
      </c>
      <c r="B150" s="289"/>
      <c r="C150" s="288"/>
      <c r="D150" s="120" t="s">
        <v>367</v>
      </c>
      <c r="E150" s="132">
        <v>0</v>
      </c>
      <c r="F150" s="384"/>
      <c r="G150" s="189"/>
      <c r="H150" s="290"/>
      <c r="I150" s="189"/>
      <c r="J150" s="189"/>
      <c r="K150" s="189"/>
      <c r="L150" s="189"/>
      <c r="M150" s="189"/>
      <c r="N150" s="189"/>
      <c r="O150" s="189"/>
      <c r="P150" s="10"/>
      <c r="Q150" s="10"/>
    </row>
    <row r="151" spans="1:17" ht="13.5" thickTop="1">
      <c r="A151" s="288">
        <v>3</v>
      </c>
      <c r="B151" s="289"/>
      <c r="C151" s="290"/>
      <c r="D151" s="189"/>
      <c r="E151" s="189"/>
      <c r="F151" s="189"/>
      <c r="G151" s="189"/>
      <c r="H151" s="290"/>
      <c r="I151" s="189"/>
      <c r="J151" s="189"/>
      <c r="K151" s="189"/>
      <c r="L151" s="189"/>
      <c r="M151" s="189"/>
      <c r="N151" s="189"/>
      <c r="O151" s="189"/>
      <c r="P151" s="10"/>
      <c r="Q151" s="10"/>
    </row>
    <row r="152" spans="1:17" ht="13.5" thickBot="1">
      <c r="A152" s="288">
        <v>3</v>
      </c>
      <c r="B152" s="18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10"/>
      <c r="Q152" s="10"/>
    </row>
    <row r="153" spans="1:17" ht="16.5" thickBot="1">
      <c r="A153" s="288">
        <v>3</v>
      </c>
      <c r="B153" s="189"/>
      <c r="C153" s="59"/>
      <c r="D153" s="84" t="s">
        <v>13</v>
      </c>
      <c r="E153" s="42"/>
      <c r="F153" s="85">
        <f>E145*indiceoct08</f>
        <v>680.8652000000001</v>
      </c>
      <c r="G153" s="59"/>
      <c r="H153" s="59"/>
      <c r="I153" s="59"/>
      <c r="J153" s="59"/>
      <c r="K153" s="59"/>
      <c r="L153" s="59"/>
      <c r="M153" s="190"/>
      <c r="N153" s="190"/>
      <c r="O153" s="59"/>
      <c r="P153" s="10"/>
      <c r="Q153" s="10"/>
    </row>
    <row r="154" spans="1:17" ht="16.5" thickBot="1">
      <c r="A154" s="288">
        <v>3</v>
      </c>
      <c r="B154" s="189"/>
      <c r="C154" s="59"/>
      <c r="D154" s="84" t="s">
        <v>14</v>
      </c>
      <c r="E154" s="42"/>
      <c r="F154" s="119">
        <v>1.2</v>
      </c>
      <c r="G154" s="10" t="s">
        <v>15</v>
      </c>
      <c r="H154" s="10"/>
      <c r="I154" s="59"/>
      <c r="J154" s="59"/>
      <c r="K154" s="59"/>
      <c r="L154" s="59"/>
      <c r="M154" s="59"/>
      <c r="N154" s="190"/>
      <c r="O154" s="59"/>
      <c r="P154" s="10"/>
      <c r="Q154" s="10"/>
    </row>
    <row r="155" spans="1:17" ht="15.75">
      <c r="A155" s="288">
        <v>3</v>
      </c>
      <c r="B155" s="189"/>
      <c r="C155" s="59"/>
      <c r="D155" s="189"/>
      <c r="E155" s="189"/>
      <c r="F155" s="191"/>
      <c r="G155" s="59"/>
      <c r="H155" s="59"/>
      <c r="I155" s="59"/>
      <c r="J155" s="59"/>
      <c r="K155" s="59"/>
      <c r="L155" s="59"/>
      <c r="M155" s="59"/>
      <c r="N155" s="192"/>
      <c r="O155" s="59"/>
      <c r="P155" s="10"/>
      <c r="Q155" s="10"/>
    </row>
    <row r="156" spans="1:17" ht="18.75" thickBot="1">
      <c r="A156" s="288">
        <v>3</v>
      </c>
      <c r="B156" s="189"/>
      <c r="C156" s="59"/>
      <c r="D156" s="87" t="s">
        <v>16</v>
      </c>
      <c r="E156" s="87"/>
      <c r="F156" s="88">
        <f>E145</f>
        <v>971</v>
      </c>
      <c r="G156" s="10" t="s">
        <v>17</v>
      </c>
      <c r="H156" s="59"/>
      <c r="I156" s="86">
        <f>H145+G145</f>
        <v>0</v>
      </c>
      <c r="J156" s="190"/>
      <c r="K156" s="190"/>
      <c r="L156" s="190"/>
      <c r="M156" s="189"/>
      <c r="N156" s="59"/>
      <c r="O156" s="59"/>
      <c r="P156" s="10"/>
      <c r="Q156" s="10"/>
    </row>
    <row r="157" spans="1:17" ht="15.75">
      <c r="A157" s="288">
        <v>3</v>
      </c>
      <c r="B157" s="189"/>
      <c r="C157" s="59"/>
      <c r="D157" s="189"/>
      <c r="E157" s="189"/>
      <c r="F157" s="191"/>
      <c r="G157" s="59"/>
      <c r="H157" s="59"/>
      <c r="I157" s="189"/>
      <c r="J157" s="189"/>
      <c r="K157" s="189"/>
      <c r="L157" s="189"/>
      <c r="M157" s="385"/>
      <c r="N157" s="59"/>
      <c r="O157" s="59"/>
      <c r="P157" s="10"/>
      <c r="Q157" s="10"/>
    </row>
    <row r="158" spans="1:15" ht="15.75">
      <c r="A158" s="288">
        <v>3</v>
      </c>
      <c r="B158" s="189"/>
      <c r="C158" s="59"/>
      <c r="D158" s="10"/>
      <c r="E158" s="157" t="s">
        <v>426</v>
      </c>
      <c r="F158" s="10"/>
      <c r="G158" s="288"/>
      <c r="H158" s="288"/>
      <c r="I158" s="288"/>
      <c r="J158" s="288"/>
      <c r="K158" s="288"/>
      <c r="L158" s="288"/>
      <c r="M158" s="288"/>
      <c r="N158" s="288"/>
      <c r="O158" s="288"/>
    </row>
    <row r="159" spans="1:15" ht="12.75">
      <c r="A159" s="288">
        <v>3</v>
      </c>
      <c r="B159" s="189"/>
      <c r="C159" s="288"/>
      <c r="D159" s="17">
        <v>400</v>
      </c>
      <c r="E159" s="17" t="s">
        <v>18</v>
      </c>
      <c r="F159" s="89">
        <f>punbasjubvarios3*indiceoct08*0.82*frac3</f>
        <v>0</v>
      </c>
      <c r="G159" s="288"/>
      <c r="H159" s="288"/>
      <c r="I159" s="288"/>
      <c r="J159" s="288"/>
      <c r="K159" s="288"/>
      <c r="L159" s="288"/>
      <c r="M159" s="288"/>
      <c r="N159" s="288"/>
      <c r="O159" s="288"/>
    </row>
    <row r="160" spans="1:15" ht="12.75">
      <c r="A160" s="288">
        <v>3</v>
      </c>
      <c r="B160" s="189"/>
      <c r="C160" s="288"/>
      <c r="D160" s="17">
        <v>542</v>
      </c>
      <c r="E160" s="17" t="s">
        <v>430</v>
      </c>
      <c r="F160" s="244">
        <f>compbasicovarios3*indiceoct08*0.82*frac3</f>
        <v>0</v>
      </c>
      <c r="G160" s="288"/>
      <c r="H160" s="288"/>
      <c r="I160" s="288"/>
      <c r="J160" s="288"/>
      <c r="K160" s="288"/>
      <c r="L160" s="288"/>
      <c r="M160" s="288"/>
      <c r="N160" s="288"/>
      <c r="O160" s="288"/>
    </row>
    <row r="161" spans="1:7" ht="12.75" hidden="1">
      <c r="A161" s="288">
        <v>3</v>
      </c>
      <c r="B161" s="189"/>
      <c r="C161" s="288"/>
      <c r="D161" s="17">
        <v>404</v>
      </c>
      <c r="E161" s="17" t="s">
        <v>346</v>
      </c>
      <c r="F161" s="89">
        <f>F145*indiceoct08*0.82*frac3</f>
        <v>0</v>
      </c>
      <c r="G161" s="288"/>
    </row>
    <row r="162" spans="1:7" ht="12.75" hidden="1">
      <c r="A162" s="288">
        <v>3</v>
      </c>
      <c r="B162" s="189"/>
      <c r="C162" s="288"/>
      <c r="D162" s="17">
        <v>406</v>
      </c>
      <c r="E162" s="17" t="s">
        <v>19</v>
      </c>
      <c r="F162" s="89">
        <f>(F159+F160+F161+F164)*F154</f>
        <v>0</v>
      </c>
      <c r="G162" s="288"/>
    </row>
    <row r="163" spans="1:7" ht="12.75" hidden="1">
      <c r="A163" s="288">
        <v>3</v>
      </c>
      <c r="B163" s="189"/>
      <c r="C163" s="288"/>
      <c r="D163" s="17">
        <v>408</v>
      </c>
      <c r="E163" s="17" t="s">
        <v>366</v>
      </c>
      <c r="F163" s="89">
        <f>(F159+F160+F161+F164)*E150</f>
        <v>0</v>
      </c>
      <c r="G163" s="288"/>
    </row>
    <row r="164" spans="1:7" ht="12.75" hidden="1">
      <c r="A164" s="288">
        <v>3</v>
      </c>
      <c r="B164" s="189"/>
      <c r="C164" s="288"/>
      <c r="D164" s="17">
        <v>416</v>
      </c>
      <c r="E164" s="90" t="s">
        <v>347</v>
      </c>
      <c r="F164" s="89">
        <f>puntosproljorvarios3*proljoroct08*0.82*frac3</f>
        <v>0</v>
      </c>
      <c r="G164" s="288"/>
    </row>
    <row r="165" spans="1:7" ht="12.75" hidden="1">
      <c r="A165" s="288">
        <v>3</v>
      </c>
      <c r="B165" s="189"/>
      <c r="C165" s="288"/>
      <c r="D165" s="17">
        <v>432</v>
      </c>
      <c r="E165" s="17" t="s">
        <v>364</v>
      </c>
      <c r="F165" s="89">
        <f>cod06sep07varios3*0.82*frac3</f>
        <v>0</v>
      </c>
      <c r="G165" s="288"/>
    </row>
    <row r="166" spans="1:7" ht="12.75" hidden="1">
      <c r="A166" s="288">
        <v>3</v>
      </c>
      <c r="B166" s="189"/>
      <c r="C166" s="288"/>
      <c r="D166" s="17">
        <v>434</v>
      </c>
      <c r="E166" s="17" t="s">
        <v>345</v>
      </c>
      <c r="F166" s="89">
        <f>(F159+F160+F161+F162+F164+F165+F163)*0.07*0.95</f>
        <v>0</v>
      </c>
      <c r="G166" s="288"/>
    </row>
    <row r="167" spans="1:7" ht="12.75" hidden="1">
      <c r="A167" s="288">
        <v>3</v>
      </c>
      <c r="B167" s="189"/>
      <c r="C167" s="288"/>
      <c r="D167" s="17"/>
      <c r="E167" s="91"/>
      <c r="F167" s="171"/>
      <c r="G167" s="288"/>
    </row>
    <row r="168" spans="1:7" ht="13.5" hidden="1" thickBot="1">
      <c r="A168" s="288">
        <v>3</v>
      </c>
      <c r="B168" s="189"/>
      <c r="C168" s="288"/>
      <c r="D168" s="17"/>
      <c r="E168" s="91" t="s">
        <v>362</v>
      </c>
      <c r="F168" s="118">
        <v>0</v>
      </c>
      <c r="G168" s="288"/>
    </row>
    <row r="169" spans="1:7" ht="16.5" hidden="1" thickBot="1">
      <c r="A169" s="288">
        <v>3</v>
      </c>
      <c r="B169" s="189"/>
      <c r="C169" s="288"/>
      <c r="D169" s="92"/>
      <c r="E169" s="93" t="s">
        <v>20</v>
      </c>
      <c r="F169" s="94">
        <f>SUM(F159:F168)</f>
        <v>0</v>
      </c>
      <c r="G169" s="288"/>
    </row>
    <row r="170" spans="1:7" ht="12.75" hidden="1">
      <c r="A170" s="288">
        <v>3</v>
      </c>
      <c r="B170" s="189"/>
      <c r="C170" s="288"/>
      <c r="D170" s="17">
        <v>703</v>
      </c>
      <c r="E170" s="95" t="s">
        <v>348</v>
      </c>
      <c r="F170" s="96">
        <f>(F169-F168)*0.0025</f>
        <v>0</v>
      </c>
      <c r="G170" s="288"/>
    </row>
    <row r="171" spans="1:7" ht="12.75" hidden="1">
      <c r="A171" s="288">
        <v>3</v>
      </c>
      <c r="B171" s="189"/>
      <c r="C171" s="288"/>
      <c r="D171" s="18">
        <v>707</v>
      </c>
      <c r="E171" s="97" t="s">
        <v>22</v>
      </c>
      <c r="F171" s="16">
        <f>(F169-F168)*0.03</f>
        <v>0</v>
      </c>
      <c r="G171" s="288"/>
    </row>
    <row r="172" spans="1:7" ht="12.75" hidden="1">
      <c r="A172" s="288">
        <v>3</v>
      </c>
      <c r="B172" s="189"/>
      <c r="C172" s="288"/>
      <c r="D172" s="18">
        <v>709</v>
      </c>
      <c r="E172" s="97" t="s">
        <v>23</v>
      </c>
      <c r="F172" s="16">
        <f>(F169-F168)*0.0213</f>
        <v>0</v>
      </c>
      <c r="G172" s="288"/>
    </row>
    <row r="173" spans="1:7" ht="12.75" hidden="1">
      <c r="A173" s="288">
        <v>3</v>
      </c>
      <c r="B173" s="189"/>
      <c r="C173" s="288"/>
      <c r="D173" s="15">
        <v>710</v>
      </c>
      <c r="E173" s="97" t="s">
        <v>24</v>
      </c>
      <c r="F173" s="16">
        <f>(F169-F168)*0.00754</f>
        <v>0</v>
      </c>
      <c r="G173" s="288"/>
    </row>
    <row r="174" spans="1:7" ht="12.75" hidden="1">
      <c r="A174" s="288">
        <v>3</v>
      </c>
      <c r="B174" s="189"/>
      <c r="C174" s="288"/>
      <c r="D174" s="15">
        <v>713</v>
      </c>
      <c r="E174" s="97" t="s">
        <v>25</v>
      </c>
      <c r="F174" s="16">
        <f>(F169-F168)*0.007</f>
        <v>0</v>
      </c>
      <c r="G174" s="288"/>
    </row>
    <row r="175" spans="1:7" ht="13.5" hidden="1" thickBot="1">
      <c r="A175" s="288">
        <v>3</v>
      </c>
      <c r="B175" s="189"/>
      <c r="C175" s="288"/>
      <c r="D175" s="15"/>
      <c r="E175" s="98" t="s">
        <v>26</v>
      </c>
      <c r="F175" s="48">
        <v>0</v>
      </c>
      <c r="G175" s="288"/>
    </row>
    <row r="176" spans="1:7" ht="16.5" hidden="1" thickBot="1">
      <c r="A176" s="288">
        <v>3</v>
      </c>
      <c r="B176" s="189"/>
      <c r="C176" s="288"/>
      <c r="D176" s="99"/>
      <c r="E176" s="93" t="s">
        <v>27</v>
      </c>
      <c r="F176" s="94">
        <f>SUM(F170:F175)</f>
        <v>0</v>
      </c>
      <c r="G176" s="288"/>
    </row>
    <row r="177" spans="1:7" ht="13.5" hidden="1" thickBot="1">
      <c r="A177" s="288">
        <v>3</v>
      </c>
      <c r="B177" s="189"/>
      <c r="C177" s="288"/>
      <c r="D177" s="100"/>
      <c r="E177" s="101"/>
      <c r="F177" s="102"/>
      <c r="G177" s="288"/>
    </row>
    <row r="178" spans="1:9" ht="16.5" hidden="1" thickBot="1">
      <c r="A178" s="288">
        <v>3</v>
      </c>
      <c r="B178" s="59"/>
      <c r="C178" s="288"/>
      <c r="D178" s="103"/>
      <c r="E178" s="104" t="s">
        <v>28</v>
      </c>
      <c r="F178" s="105">
        <f>F169-F176</f>
        <v>0</v>
      </c>
      <c r="G178" s="288"/>
      <c r="H178" s="288"/>
      <c r="I178" s="288"/>
    </row>
    <row r="179" spans="1:9" s="263" customFormat="1" ht="12.75" hidden="1">
      <c r="A179" s="288">
        <v>3</v>
      </c>
      <c r="B179" s="189"/>
      <c r="C179" s="291"/>
      <c r="G179" s="297"/>
      <c r="H179" s="297"/>
      <c r="I179" s="297"/>
    </row>
    <row r="180" spans="1:17" ht="15.75" hidden="1">
      <c r="A180" s="288">
        <v>3</v>
      </c>
      <c r="B180" s="59"/>
      <c r="C180" s="59"/>
      <c r="D180" s="4"/>
      <c r="E180" s="206"/>
      <c r="F180" s="209"/>
      <c r="G180" s="10"/>
      <c r="H180" s="4"/>
      <c r="I180" s="206"/>
      <c r="J180" s="209"/>
      <c r="Q180" s="288"/>
    </row>
    <row r="181" spans="1:17" ht="15.75">
      <c r="A181" s="288">
        <v>3</v>
      </c>
      <c r="B181" s="59"/>
      <c r="C181" s="59"/>
      <c r="D181" s="292"/>
      <c r="E181" s="293"/>
      <c r="F181" s="294"/>
      <c r="G181" s="59"/>
      <c r="H181" s="292"/>
      <c r="I181" s="293"/>
      <c r="J181" s="294"/>
      <c r="K181" s="288"/>
      <c r="L181" s="288"/>
      <c r="M181" s="288"/>
      <c r="N181" s="288"/>
      <c r="O181" s="288"/>
      <c r="P181" s="258"/>
      <c r="Q181" s="258"/>
    </row>
    <row r="182" spans="1:17" ht="15.75">
      <c r="A182" s="288">
        <v>3</v>
      </c>
      <c r="B182" s="59"/>
      <c r="C182" s="59"/>
      <c r="D182" s="292"/>
      <c r="E182" s="293"/>
      <c r="F182" s="294"/>
      <c r="G182" s="59"/>
      <c r="H182" s="292"/>
      <c r="I182" s="293"/>
      <c r="J182" s="295"/>
      <c r="K182" s="288"/>
      <c r="L182" s="288"/>
      <c r="M182" s="288"/>
      <c r="N182" s="288"/>
      <c r="O182" s="288"/>
      <c r="P182" s="258"/>
      <c r="Q182" s="258"/>
    </row>
    <row r="184" s="263" customFormat="1" ht="12.75" hidden="1"/>
    <row r="185" spans="1:20" ht="16.5" hidden="1" thickBot="1">
      <c r="A185" s="263">
        <v>4</v>
      </c>
      <c r="F185" t="s">
        <v>398</v>
      </c>
      <c r="G185" s="10" t="s">
        <v>401</v>
      </c>
      <c r="H185" s="10" t="s">
        <v>402</v>
      </c>
      <c r="I185" s="133" t="s">
        <v>403</v>
      </c>
      <c r="J185" s="133" t="s">
        <v>404</v>
      </c>
      <c r="K185" s="133" t="s">
        <v>405</v>
      </c>
      <c r="L185" s="133" t="s">
        <v>406</v>
      </c>
      <c r="M185" s="133" t="s">
        <v>407</v>
      </c>
      <c r="N185" s="133" t="s">
        <v>408</v>
      </c>
      <c r="O185" s="148" t="s">
        <v>409</v>
      </c>
      <c r="P185" s="148">
        <v>1</v>
      </c>
      <c r="Q185" s="148">
        <v>2</v>
      </c>
      <c r="R185" s="148">
        <v>3</v>
      </c>
      <c r="S185" s="148">
        <v>4</v>
      </c>
      <c r="T185" s="148">
        <v>5</v>
      </c>
    </row>
    <row r="186" spans="1:20" ht="16.5" hidden="1" thickBot="1">
      <c r="A186" s="263">
        <v>4</v>
      </c>
      <c r="E186" s="123">
        <v>0</v>
      </c>
      <c r="F186" s="134">
        <f aca="true" t="shared" si="21" ref="F186:F197">IF(puntosproljorvarios4&lt;620,T186,O186)</f>
        <v>180</v>
      </c>
      <c r="G186" s="134">
        <v>180</v>
      </c>
      <c r="H186" s="225">
        <v>80</v>
      </c>
      <c r="I186" s="149">
        <v>0</v>
      </c>
      <c r="J186" s="150">
        <v>0</v>
      </c>
      <c r="K186" s="151">
        <v>0</v>
      </c>
      <c r="L186" s="226">
        <v>0</v>
      </c>
      <c r="M186" s="227">
        <v>180</v>
      </c>
      <c r="N186" s="228">
        <v>80</v>
      </c>
      <c r="O186" s="152">
        <f aca="true" t="shared" si="22" ref="O186:O197">IF(punbasjubvarios4&gt;971,N186,M186)</f>
        <v>180</v>
      </c>
      <c r="P186" s="152">
        <f aca="true" t="shared" si="23" ref="P186:P197">IF(punbasjubvarios4&lt;972,G186,H186)</f>
        <v>180</v>
      </c>
      <c r="Q186" s="152">
        <f aca="true" t="shared" si="24" ref="Q186:Q197">IF(punbasjubvarios4&lt;1170,P186,I186)</f>
        <v>180</v>
      </c>
      <c r="R186" s="152">
        <f aca="true" t="shared" si="25" ref="R186:R197">IF(punbasjubvarios4&lt;1401,Q186,J186)</f>
        <v>180</v>
      </c>
      <c r="S186" s="152">
        <f aca="true" t="shared" si="26" ref="S186:S197">IF(punbasjubvarios4&lt;1943,R186,K186)</f>
        <v>180</v>
      </c>
      <c r="T186" s="152">
        <f aca="true" t="shared" si="27" ref="T186:T197">IF(punbasjubvarios4&lt;=2220,S186,L186)</f>
        <v>180</v>
      </c>
    </row>
    <row r="187" spans="1:20" ht="16.5" hidden="1" thickBot="1">
      <c r="A187" s="263">
        <v>4</v>
      </c>
      <c r="E187" s="124">
        <v>0.1</v>
      </c>
      <c r="F187" s="134">
        <f t="shared" si="21"/>
        <v>195</v>
      </c>
      <c r="G187" s="134">
        <v>195</v>
      </c>
      <c r="H187" s="230">
        <v>90</v>
      </c>
      <c r="I187" s="149">
        <v>0</v>
      </c>
      <c r="J187" s="150">
        <v>0</v>
      </c>
      <c r="K187" s="151">
        <v>0</v>
      </c>
      <c r="L187" s="226">
        <v>0</v>
      </c>
      <c r="M187" s="227">
        <v>195</v>
      </c>
      <c r="N187" s="228">
        <v>90</v>
      </c>
      <c r="O187" s="152">
        <f t="shared" si="22"/>
        <v>195</v>
      </c>
      <c r="P187" s="152">
        <f t="shared" si="23"/>
        <v>195</v>
      </c>
      <c r="Q187" s="152">
        <f t="shared" si="24"/>
        <v>195</v>
      </c>
      <c r="R187" s="152">
        <f t="shared" si="25"/>
        <v>195</v>
      </c>
      <c r="S187" s="152">
        <f t="shared" si="26"/>
        <v>195</v>
      </c>
      <c r="T187" s="152">
        <f t="shared" si="27"/>
        <v>195</v>
      </c>
    </row>
    <row r="188" spans="1:20" ht="16.5" hidden="1" thickBot="1">
      <c r="A188" s="263">
        <v>4</v>
      </c>
      <c r="E188" s="125">
        <v>0.15</v>
      </c>
      <c r="F188" s="134">
        <f t="shared" si="21"/>
        <v>290</v>
      </c>
      <c r="G188" s="134">
        <v>290</v>
      </c>
      <c r="H188" s="230">
        <v>180</v>
      </c>
      <c r="I188" s="153">
        <v>240</v>
      </c>
      <c r="J188" s="154">
        <v>193</v>
      </c>
      <c r="K188" s="155">
        <v>180</v>
      </c>
      <c r="L188" s="226">
        <v>0</v>
      </c>
      <c r="M188" s="227">
        <v>330</v>
      </c>
      <c r="N188" s="228">
        <v>220</v>
      </c>
      <c r="O188" s="152">
        <f t="shared" si="22"/>
        <v>330</v>
      </c>
      <c r="P188" s="152">
        <f t="shared" si="23"/>
        <v>290</v>
      </c>
      <c r="Q188" s="152">
        <f t="shared" si="24"/>
        <v>290</v>
      </c>
      <c r="R188" s="152">
        <f t="shared" si="25"/>
        <v>290</v>
      </c>
      <c r="S188" s="152">
        <f t="shared" si="26"/>
        <v>290</v>
      </c>
      <c r="T188" s="152">
        <f t="shared" si="27"/>
        <v>290</v>
      </c>
    </row>
    <row r="189" spans="1:20" ht="16.5" hidden="1" thickBot="1">
      <c r="A189" s="263">
        <v>4</v>
      </c>
      <c r="E189" s="125">
        <v>0.3</v>
      </c>
      <c r="F189" s="134">
        <f t="shared" si="21"/>
        <v>340</v>
      </c>
      <c r="G189" s="134">
        <v>340</v>
      </c>
      <c r="H189" s="230">
        <v>195</v>
      </c>
      <c r="I189" s="153">
        <v>240</v>
      </c>
      <c r="J189" s="154">
        <v>193</v>
      </c>
      <c r="K189" s="155">
        <v>180</v>
      </c>
      <c r="L189" s="226">
        <v>0</v>
      </c>
      <c r="M189" s="227">
        <v>495</v>
      </c>
      <c r="N189" s="228">
        <v>350</v>
      </c>
      <c r="O189" s="152">
        <f t="shared" si="22"/>
        <v>495</v>
      </c>
      <c r="P189" s="152">
        <f t="shared" si="23"/>
        <v>340</v>
      </c>
      <c r="Q189" s="152">
        <f t="shared" si="24"/>
        <v>340</v>
      </c>
      <c r="R189" s="152">
        <f t="shared" si="25"/>
        <v>340</v>
      </c>
      <c r="S189" s="152">
        <f t="shared" si="26"/>
        <v>340</v>
      </c>
      <c r="T189" s="152">
        <f t="shared" si="27"/>
        <v>340</v>
      </c>
    </row>
    <row r="190" spans="1:20" ht="16.5" hidden="1" thickBot="1">
      <c r="A190" s="263">
        <v>4</v>
      </c>
      <c r="E190" s="125">
        <v>0.4</v>
      </c>
      <c r="F190" s="134">
        <f t="shared" si="21"/>
        <v>370</v>
      </c>
      <c r="G190" s="134">
        <v>370</v>
      </c>
      <c r="H190" s="230">
        <v>210</v>
      </c>
      <c r="I190" s="153">
        <v>250</v>
      </c>
      <c r="J190" s="154">
        <v>200</v>
      </c>
      <c r="K190" s="155">
        <v>180</v>
      </c>
      <c r="L190" s="226">
        <v>140</v>
      </c>
      <c r="M190" s="227">
        <v>560</v>
      </c>
      <c r="N190" s="228">
        <v>400</v>
      </c>
      <c r="O190" s="152">
        <f t="shared" si="22"/>
        <v>560</v>
      </c>
      <c r="P190" s="152">
        <f t="shared" si="23"/>
        <v>370</v>
      </c>
      <c r="Q190" s="152">
        <f t="shared" si="24"/>
        <v>370</v>
      </c>
      <c r="R190" s="152">
        <f t="shared" si="25"/>
        <v>370</v>
      </c>
      <c r="S190" s="152">
        <f t="shared" si="26"/>
        <v>370</v>
      </c>
      <c r="T190" s="152">
        <f t="shared" si="27"/>
        <v>370</v>
      </c>
    </row>
    <row r="191" spans="1:20" ht="16.5" hidden="1" thickBot="1">
      <c r="A191" s="263">
        <v>4</v>
      </c>
      <c r="E191" s="125">
        <v>0.5</v>
      </c>
      <c r="F191" s="134">
        <f t="shared" si="21"/>
        <v>395</v>
      </c>
      <c r="G191" s="134">
        <v>395</v>
      </c>
      <c r="H191" s="230">
        <v>230</v>
      </c>
      <c r="I191" s="153">
        <v>250</v>
      </c>
      <c r="J191" s="137">
        <v>200</v>
      </c>
      <c r="K191" s="155">
        <v>180</v>
      </c>
      <c r="L191" s="226">
        <v>140</v>
      </c>
      <c r="M191" s="227">
        <v>600</v>
      </c>
      <c r="N191" s="228">
        <v>435</v>
      </c>
      <c r="O191" s="152">
        <f t="shared" si="22"/>
        <v>600</v>
      </c>
      <c r="P191" s="152">
        <f t="shared" si="23"/>
        <v>395</v>
      </c>
      <c r="Q191" s="152">
        <f t="shared" si="24"/>
        <v>395</v>
      </c>
      <c r="R191" s="152">
        <f t="shared" si="25"/>
        <v>395</v>
      </c>
      <c r="S191" s="152">
        <f t="shared" si="26"/>
        <v>395</v>
      </c>
      <c r="T191" s="152">
        <f t="shared" si="27"/>
        <v>395</v>
      </c>
    </row>
    <row r="192" spans="1:20" ht="16.5" hidden="1" thickBot="1">
      <c r="A192" s="263">
        <v>4</v>
      </c>
      <c r="E192" s="125">
        <v>0.6</v>
      </c>
      <c r="F192" s="134">
        <f t="shared" si="21"/>
        <v>455</v>
      </c>
      <c r="G192" s="134">
        <v>455</v>
      </c>
      <c r="H192" s="230">
        <v>260</v>
      </c>
      <c r="I192" s="153">
        <v>260</v>
      </c>
      <c r="J192" s="137">
        <v>203</v>
      </c>
      <c r="K192" s="155">
        <v>190</v>
      </c>
      <c r="L192" s="226">
        <v>160</v>
      </c>
      <c r="M192" s="227">
        <v>645</v>
      </c>
      <c r="N192" s="228">
        <v>450</v>
      </c>
      <c r="O192" s="152">
        <f t="shared" si="22"/>
        <v>645</v>
      </c>
      <c r="P192" s="152">
        <f t="shared" si="23"/>
        <v>455</v>
      </c>
      <c r="Q192" s="152">
        <f t="shared" si="24"/>
        <v>455</v>
      </c>
      <c r="R192" s="152">
        <f t="shared" si="25"/>
        <v>455</v>
      </c>
      <c r="S192" s="152">
        <f t="shared" si="26"/>
        <v>455</v>
      </c>
      <c r="T192" s="152">
        <f t="shared" si="27"/>
        <v>455</v>
      </c>
    </row>
    <row r="193" spans="1:20" ht="16.5" hidden="1" thickBot="1">
      <c r="A193" s="263">
        <v>4</v>
      </c>
      <c r="E193" s="125">
        <v>0.7</v>
      </c>
      <c r="F193" s="134">
        <f t="shared" si="21"/>
        <v>430</v>
      </c>
      <c r="G193" s="134">
        <v>430</v>
      </c>
      <c r="H193" s="230">
        <v>285</v>
      </c>
      <c r="I193" s="153">
        <v>365</v>
      </c>
      <c r="J193" s="137">
        <v>230</v>
      </c>
      <c r="K193" s="155">
        <v>190</v>
      </c>
      <c r="L193" s="226">
        <v>160</v>
      </c>
      <c r="M193" s="227">
        <v>610</v>
      </c>
      <c r="N193" s="228">
        <v>465</v>
      </c>
      <c r="O193" s="152">
        <f t="shared" si="22"/>
        <v>610</v>
      </c>
      <c r="P193" s="152">
        <f t="shared" si="23"/>
        <v>430</v>
      </c>
      <c r="Q193" s="152">
        <f t="shared" si="24"/>
        <v>430</v>
      </c>
      <c r="R193" s="152">
        <f t="shared" si="25"/>
        <v>430</v>
      </c>
      <c r="S193" s="152">
        <f t="shared" si="26"/>
        <v>430</v>
      </c>
      <c r="T193" s="152">
        <f t="shared" si="27"/>
        <v>430</v>
      </c>
    </row>
    <row r="194" spans="1:20" ht="16.5" hidden="1" thickBot="1">
      <c r="A194" s="263">
        <v>4</v>
      </c>
      <c r="E194" s="125">
        <v>0.8</v>
      </c>
      <c r="F194" s="134">
        <f t="shared" si="21"/>
        <v>515</v>
      </c>
      <c r="G194" s="134">
        <v>515</v>
      </c>
      <c r="H194" s="230">
        <v>345</v>
      </c>
      <c r="I194" s="136">
        <v>395</v>
      </c>
      <c r="J194" s="137">
        <v>340</v>
      </c>
      <c r="K194" s="156">
        <v>280</v>
      </c>
      <c r="L194" s="232">
        <v>180</v>
      </c>
      <c r="M194" s="227">
        <v>645</v>
      </c>
      <c r="N194" s="228">
        <v>475</v>
      </c>
      <c r="O194" s="152">
        <f t="shared" si="22"/>
        <v>645</v>
      </c>
      <c r="P194" s="152">
        <f t="shared" si="23"/>
        <v>515</v>
      </c>
      <c r="Q194" s="152">
        <f t="shared" si="24"/>
        <v>515</v>
      </c>
      <c r="R194" s="152">
        <f t="shared" si="25"/>
        <v>515</v>
      </c>
      <c r="S194" s="152">
        <f t="shared" si="26"/>
        <v>515</v>
      </c>
      <c r="T194" s="152">
        <f t="shared" si="27"/>
        <v>515</v>
      </c>
    </row>
    <row r="195" spans="1:20" ht="16.5" hidden="1" thickBot="1">
      <c r="A195" s="263">
        <v>4</v>
      </c>
      <c r="E195" s="125">
        <v>1</v>
      </c>
      <c r="F195" s="134">
        <f t="shared" si="21"/>
        <v>635</v>
      </c>
      <c r="G195" s="134">
        <v>635</v>
      </c>
      <c r="H195" s="230">
        <v>435</v>
      </c>
      <c r="I195" s="136">
        <v>410</v>
      </c>
      <c r="J195" s="137">
        <v>330</v>
      </c>
      <c r="K195" s="156">
        <v>310</v>
      </c>
      <c r="L195" s="232">
        <v>180</v>
      </c>
      <c r="M195" s="227">
        <v>690</v>
      </c>
      <c r="N195" s="228">
        <v>490</v>
      </c>
      <c r="O195" s="152">
        <f t="shared" si="22"/>
        <v>690</v>
      </c>
      <c r="P195" s="152">
        <f t="shared" si="23"/>
        <v>635</v>
      </c>
      <c r="Q195" s="152">
        <f t="shared" si="24"/>
        <v>635</v>
      </c>
      <c r="R195" s="152">
        <f t="shared" si="25"/>
        <v>635</v>
      </c>
      <c r="S195" s="152">
        <f t="shared" si="26"/>
        <v>635</v>
      </c>
      <c r="T195" s="152">
        <f t="shared" si="27"/>
        <v>635</v>
      </c>
    </row>
    <row r="196" spans="1:20" ht="16.5" hidden="1" thickBot="1">
      <c r="A196" s="263">
        <v>4</v>
      </c>
      <c r="E196" s="125">
        <v>1.1</v>
      </c>
      <c r="F196" s="134">
        <f t="shared" si="21"/>
        <v>710</v>
      </c>
      <c r="G196" s="134">
        <v>710</v>
      </c>
      <c r="H196" s="230">
        <v>495</v>
      </c>
      <c r="I196" s="136">
        <v>430</v>
      </c>
      <c r="J196" s="137">
        <v>330</v>
      </c>
      <c r="K196" s="156">
        <v>320</v>
      </c>
      <c r="L196" s="232">
        <v>190</v>
      </c>
      <c r="M196" s="227">
        <v>720</v>
      </c>
      <c r="N196" s="228">
        <v>505</v>
      </c>
      <c r="O196" s="152">
        <f t="shared" si="22"/>
        <v>720</v>
      </c>
      <c r="P196" s="152">
        <f t="shared" si="23"/>
        <v>710</v>
      </c>
      <c r="Q196" s="152">
        <f t="shared" si="24"/>
        <v>710</v>
      </c>
      <c r="R196" s="152">
        <f t="shared" si="25"/>
        <v>710</v>
      </c>
      <c r="S196" s="152">
        <f t="shared" si="26"/>
        <v>710</v>
      </c>
      <c r="T196" s="152">
        <f t="shared" si="27"/>
        <v>710</v>
      </c>
    </row>
    <row r="197" spans="1:20" ht="16.5" hidden="1" thickBot="1">
      <c r="A197" s="263">
        <v>4</v>
      </c>
      <c r="E197" s="126">
        <v>1.2</v>
      </c>
      <c r="F197" s="134">
        <f t="shared" si="21"/>
        <v>730</v>
      </c>
      <c r="G197" s="134">
        <v>730</v>
      </c>
      <c r="H197" s="230">
        <v>510</v>
      </c>
      <c r="I197" s="136">
        <v>480</v>
      </c>
      <c r="J197" s="137">
        <v>335</v>
      </c>
      <c r="K197" s="156">
        <v>330</v>
      </c>
      <c r="L197" s="232">
        <v>190</v>
      </c>
      <c r="M197" s="227">
        <v>730</v>
      </c>
      <c r="N197" s="228">
        <v>510</v>
      </c>
      <c r="O197" s="152">
        <f t="shared" si="22"/>
        <v>730</v>
      </c>
      <c r="P197" s="152">
        <f t="shared" si="23"/>
        <v>730</v>
      </c>
      <c r="Q197" s="152">
        <f t="shared" si="24"/>
        <v>730</v>
      </c>
      <c r="R197" s="152">
        <f t="shared" si="25"/>
        <v>730</v>
      </c>
      <c r="S197" s="152">
        <f t="shared" si="26"/>
        <v>730</v>
      </c>
      <c r="T197" s="152">
        <f t="shared" si="27"/>
        <v>730</v>
      </c>
    </row>
    <row r="198" spans="1:20" s="258" customFormat="1" ht="15.75" hidden="1">
      <c r="A198" s="263">
        <v>4</v>
      </c>
      <c r="E198" s="259"/>
      <c r="F198" s="164"/>
      <c r="G198" s="164"/>
      <c r="H198" s="260"/>
      <c r="I198" s="261"/>
      <c r="J198" s="261"/>
      <c r="K198" s="164"/>
      <c r="L198" s="11"/>
      <c r="M198" s="135"/>
      <c r="N198" s="135"/>
      <c r="O198" s="135"/>
      <c r="P198" s="135"/>
      <c r="Q198" s="135"/>
      <c r="R198" s="135"/>
      <c r="S198" s="135"/>
      <c r="T198" s="135"/>
    </row>
    <row r="199" spans="1:20" s="258" customFormat="1" ht="15.75" hidden="1">
      <c r="A199" s="263">
        <v>4</v>
      </c>
      <c r="E199" s="259"/>
      <c r="F199" s="164" t="s">
        <v>413</v>
      </c>
      <c r="G199" s="164">
        <f>LOOKUP(F215,porantvar4,cod06cargosvar4)</f>
        <v>730</v>
      </c>
      <c r="H199" s="260"/>
      <c r="I199" s="261"/>
      <c r="J199" s="261"/>
      <c r="K199" s="164"/>
      <c r="L199" s="11"/>
      <c r="M199" s="135"/>
      <c r="N199" s="135"/>
      <c r="O199" s="135"/>
      <c r="P199" s="135"/>
      <c r="Q199" s="135"/>
      <c r="R199" s="135"/>
      <c r="S199" s="135"/>
      <c r="T199" s="135"/>
    </row>
    <row r="200" s="263" customFormat="1" ht="12.75" hidden="1">
      <c r="A200" s="263">
        <v>4</v>
      </c>
    </row>
    <row r="201" ht="12.75" hidden="1">
      <c r="A201" s="263">
        <v>4</v>
      </c>
    </row>
    <row r="202" spans="1:15" ht="12.75">
      <c r="A202" s="299">
        <v>4</v>
      </c>
      <c r="B202" s="300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</row>
    <row r="203" spans="1:17" ht="20.25">
      <c r="A203" s="299">
        <v>4</v>
      </c>
      <c r="B203" s="194"/>
      <c r="C203" s="195"/>
      <c r="D203" s="195"/>
      <c r="E203" s="80" t="s">
        <v>393</v>
      </c>
      <c r="F203" s="10"/>
      <c r="G203" s="10"/>
      <c r="H203" s="195"/>
      <c r="I203" s="195"/>
      <c r="J203" s="195"/>
      <c r="K203" s="195"/>
      <c r="L203" s="195"/>
      <c r="M203" s="195"/>
      <c r="N203" s="193"/>
      <c r="O203" s="311"/>
      <c r="P203" s="164"/>
      <c r="Q203" s="164"/>
    </row>
    <row r="204" spans="1:17" ht="12.75">
      <c r="A204" s="299">
        <v>4</v>
      </c>
      <c r="B204" s="194"/>
      <c r="C204" s="194"/>
      <c r="D204" s="194"/>
      <c r="E204" s="194"/>
      <c r="F204" s="194"/>
      <c r="G204" s="194"/>
      <c r="H204" s="302"/>
      <c r="I204" s="194"/>
      <c r="J204" s="194"/>
      <c r="K204" s="194"/>
      <c r="L204" s="194"/>
      <c r="M204" s="194"/>
      <c r="N204" s="193"/>
      <c r="O204" s="311"/>
      <c r="P204" s="164"/>
      <c r="Q204" s="164"/>
    </row>
    <row r="205" spans="1:17" ht="12.75">
      <c r="A205" s="299">
        <v>4</v>
      </c>
      <c r="B205" s="300"/>
      <c r="C205" s="300"/>
      <c r="D205" s="44" t="s">
        <v>37</v>
      </c>
      <c r="E205" s="44" t="s">
        <v>341</v>
      </c>
      <c r="F205" s="44" t="s">
        <v>342</v>
      </c>
      <c r="G205" s="44" t="s">
        <v>343</v>
      </c>
      <c r="H205" s="44" t="s">
        <v>344</v>
      </c>
      <c r="I205" s="100" t="s">
        <v>410</v>
      </c>
      <c r="J205" s="194"/>
      <c r="K205" s="194"/>
      <c r="L205" s="194"/>
      <c r="M205" s="194"/>
      <c r="N205" s="193"/>
      <c r="O205" s="311"/>
      <c r="P205" s="164"/>
      <c r="Q205" s="164"/>
    </row>
    <row r="206" spans="1:17" ht="16.5" thickBot="1">
      <c r="A206" s="299">
        <v>4</v>
      </c>
      <c r="B206" s="300"/>
      <c r="C206" s="300"/>
      <c r="D206" s="117">
        <v>749</v>
      </c>
      <c r="E206" s="81">
        <f>LOOKUP(D206,[0]!numerocargo,[0]!puntosbasicoscargo)</f>
        <v>971</v>
      </c>
      <c r="F206" s="81">
        <f>LOOKUP(D206,[0]!numerocargo,[0]!tardifcargo)</f>
        <v>0</v>
      </c>
      <c r="G206" s="81">
        <f>LOOKUP(D206,[0]!numerocargo,[0]!proljorcargo)</f>
        <v>0</v>
      </c>
      <c r="H206" s="81">
        <f>LOOKUP(D206,[0]!numerocargo,[0]!jorcomcargo)</f>
        <v>0</v>
      </c>
      <c r="I206" s="44">
        <f>LOOKUP(D206,Cargos!A3:A314,puntoscompbasico)</f>
        <v>170</v>
      </c>
      <c r="J206" s="194"/>
      <c r="K206" s="194"/>
      <c r="L206" s="194"/>
      <c r="M206" s="194"/>
      <c r="N206" s="193"/>
      <c r="O206" s="311"/>
      <c r="P206" s="164"/>
      <c r="Q206" s="164"/>
    </row>
    <row r="207" spans="1:17" ht="13.5" thickBot="1">
      <c r="A207" s="299">
        <v>4</v>
      </c>
      <c r="B207" s="300"/>
      <c r="C207" s="300"/>
      <c r="D207" s="82" t="s">
        <v>38</v>
      </c>
      <c r="E207" s="83" t="str">
        <f>LOOKUP(D206,[0]!numerocargo,[0]!nombrecargo)</f>
        <v> MAESTRO DE GRADO</v>
      </c>
      <c r="F207" s="42"/>
      <c r="G207" s="42"/>
      <c r="H207" s="62"/>
      <c r="I207" s="194"/>
      <c r="J207" s="194"/>
      <c r="K207" s="194"/>
      <c r="L207" s="194"/>
      <c r="M207" s="194"/>
      <c r="N207" s="193"/>
      <c r="O207" s="311"/>
      <c r="P207" s="164"/>
      <c r="Q207" s="164"/>
    </row>
    <row r="208" spans="1:17" ht="13.5" thickBot="1">
      <c r="A208" s="299">
        <v>4</v>
      </c>
      <c r="B208" s="300"/>
      <c r="C208" s="300"/>
      <c r="D208" s="301"/>
      <c r="E208" s="302"/>
      <c r="F208" s="194"/>
      <c r="G208" s="194"/>
      <c r="H208" s="194"/>
      <c r="I208" s="128" t="s">
        <v>365</v>
      </c>
      <c r="J208" s="312"/>
      <c r="K208" s="312"/>
      <c r="L208" s="312"/>
      <c r="M208" s="194"/>
      <c r="N208" s="194"/>
      <c r="O208" s="194"/>
      <c r="P208" s="10"/>
      <c r="Q208" s="10"/>
    </row>
    <row r="209" spans="1:17" ht="19.5" thickBot="1" thickTop="1">
      <c r="A209" s="299">
        <v>4</v>
      </c>
      <c r="B209" s="300"/>
      <c r="C209" s="300"/>
      <c r="D209" s="165" t="s">
        <v>358</v>
      </c>
      <c r="E209" s="122"/>
      <c r="F209" s="122"/>
      <c r="G209" s="122"/>
      <c r="H209" s="166">
        <v>0</v>
      </c>
      <c r="I209" s="129">
        <f>H209/120</f>
        <v>0</v>
      </c>
      <c r="J209" s="302"/>
      <c r="K209" s="302"/>
      <c r="L209" s="302"/>
      <c r="M209" s="194"/>
      <c r="N209" s="194"/>
      <c r="O209" s="194"/>
      <c r="P209" s="10"/>
      <c r="Q209" s="10"/>
    </row>
    <row r="210" spans="1:17" ht="17.25" thickBot="1" thickTop="1">
      <c r="A210" s="299">
        <v>4</v>
      </c>
      <c r="B210" s="301"/>
      <c r="C210" s="302"/>
      <c r="D210" s="194"/>
      <c r="E210" s="194"/>
      <c r="F210" s="386"/>
      <c r="G210" s="194"/>
      <c r="H210" s="302"/>
      <c r="I210" s="194"/>
      <c r="J210" s="194"/>
      <c r="K210" s="194"/>
      <c r="L210" s="194"/>
      <c r="M210" s="194"/>
      <c r="N210" s="194"/>
      <c r="O210" s="194"/>
      <c r="P210" s="10"/>
      <c r="Q210" s="10"/>
    </row>
    <row r="211" spans="1:17" ht="17.25" thickBot="1" thickTop="1">
      <c r="A211" s="299">
        <v>4</v>
      </c>
      <c r="B211" s="301"/>
      <c r="C211" s="300"/>
      <c r="D211" s="120" t="s">
        <v>367</v>
      </c>
      <c r="E211" s="132">
        <v>0</v>
      </c>
      <c r="F211" s="386"/>
      <c r="G211" s="194"/>
      <c r="H211" s="302"/>
      <c r="I211" s="194"/>
      <c r="J211" s="194"/>
      <c r="K211" s="194"/>
      <c r="L211" s="194"/>
      <c r="M211" s="194"/>
      <c r="N211" s="194"/>
      <c r="O211" s="194"/>
      <c r="P211" s="10"/>
      <c r="Q211" s="10"/>
    </row>
    <row r="212" spans="1:17" ht="13.5" thickTop="1">
      <c r="A212" s="299">
        <v>4</v>
      </c>
      <c r="B212" s="301"/>
      <c r="C212" s="302"/>
      <c r="D212" s="194"/>
      <c r="E212" s="194"/>
      <c r="F212" s="194"/>
      <c r="G212" s="194"/>
      <c r="H212" s="302"/>
      <c r="I212" s="194"/>
      <c r="J212" s="194"/>
      <c r="K212" s="194"/>
      <c r="L212" s="194"/>
      <c r="M212" s="194"/>
      <c r="N212" s="194"/>
      <c r="O212" s="194"/>
      <c r="P212" s="10"/>
      <c r="Q212" s="10"/>
    </row>
    <row r="213" spans="1:17" ht="13.5" thickBot="1">
      <c r="A213" s="299">
        <v>4</v>
      </c>
      <c r="B213" s="194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0"/>
      <c r="Q213" s="10"/>
    </row>
    <row r="214" spans="1:17" ht="16.5" thickBot="1">
      <c r="A214" s="299">
        <v>4</v>
      </c>
      <c r="B214" s="194"/>
      <c r="C214" s="195"/>
      <c r="D214" s="84" t="s">
        <v>13</v>
      </c>
      <c r="E214" s="42"/>
      <c r="F214" s="85">
        <f>E206*indiceoct08</f>
        <v>680.8652000000001</v>
      </c>
      <c r="G214" s="10"/>
      <c r="H214" s="10"/>
      <c r="I214" s="195"/>
      <c r="J214" s="195"/>
      <c r="K214" s="195"/>
      <c r="L214" s="195"/>
      <c r="M214" s="196"/>
      <c r="N214" s="196"/>
      <c r="O214" s="195"/>
      <c r="P214" s="10"/>
      <c r="Q214" s="10"/>
    </row>
    <row r="215" spans="1:17" ht="16.5" thickBot="1">
      <c r="A215" s="299">
        <v>4</v>
      </c>
      <c r="B215" s="194"/>
      <c r="C215" s="195"/>
      <c r="D215" s="84" t="s">
        <v>14</v>
      </c>
      <c r="E215" s="42"/>
      <c r="F215" s="119">
        <v>1.2</v>
      </c>
      <c r="G215" s="10" t="s">
        <v>15</v>
      </c>
      <c r="H215" s="10"/>
      <c r="I215" s="195"/>
      <c r="J215" s="195"/>
      <c r="K215" s="195"/>
      <c r="L215" s="195"/>
      <c r="M215" s="195"/>
      <c r="N215" s="196"/>
      <c r="O215" s="195"/>
      <c r="P215" s="10"/>
      <c r="Q215" s="10"/>
    </row>
    <row r="216" spans="1:17" ht="15.75">
      <c r="A216" s="299">
        <v>4</v>
      </c>
      <c r="B216" s="194"/>
      <c r="C216" s="195"/>
      <c r="D216" s="194"/>
      <c r="E216" s="194"/>
      <c r="F216" s="197"/>
      <c r="G216" s="195"/>
      <c r="H216" s="195"/>
      <c r="I216" s="195"/>
      <c r="J216" s="195"/>
      <c r="K216" s="195"/>
      <c r="L216" s="195"/>
      <c r="M216" s="195"/>
      <c r="N216" s="198"/>
      <c r="O216" s="195"/>
      <c r="P216" s="10"/>
      <c r="Q216" s="10"/>
    </row>
    <row r="217" spans="1:17" ht="18.75" thickBot="1">
      <c r="A217" s="299">
        <v>4</v>
      </c>
      <c r="B217" s="194"/>
      <c r="C217" s="195"/>
      <c r="D217" s="87" t="s">
        <v>16</v>
      </c>
      <c r="E217" s="87"/>
      <c r="F217" s="88">
        <f>E206</f>
        <v>971</v>
      </c>
      <c r="G217" s="10" t="s">
        <v>17</v>
      </c>
      <c r="H217" s="195"/>
      <c r="I217" s="86">
        <f>H206+G206</f>
        <v>0</v>
      </c>
      <c r="J217" s="196"/>
      <c r="K217" s="196"/>
      <c r="L217" s="196"/>
      <c r="M217" s="194"/>
      <c r="N217" s="195"/>
      <c r="O217" s="195"/>
      <c r="P217" s="10"/>
      <c r="Q217" s="10"/>
    </row>
    <row r="218" spans="1:17" ht="15.75">
      <c r="A218" s="299">
        <v>4</v>
      </c>
      <c r="B218" s="194"/>
      <c r="C218" s="195"/>
      <c r="D218" s="194"/>
      <c r="E218" s="194"/>
      <c r="F218" s="197"/>
      <c r="G218" s="195"/>
      <c r="H218" s="195"/>
      <c r="I218" s="194"/>
      <c r="J218" s="194"/>
      <c r="K218" s="194"/>
      <c r="L218" s="194"/>
      <c r="M218" s="387"/>
      <c r="N218" s="195"/>
      <c r="O218" s="195"/>
      <c r="P218" s="10"/>
      <c r="Q218" s="10"/>
    </row>
    <row r="219" spans="1:15" ht="15.75">
      <c r="A219" s="299">
        <v>4</v>
      </c>
      <c r="B219" s="194"/>
      <c r="C219" s="195"/>
      <c r="D219" s="10"/>
      <c r="E219" s="157" t="s">
        <v>426</v>
      </c>
      <c r="F219" s="10"/>
      <c r="G219" s="300"/>
      <c r="H219" s="300"/>
      <c r="I219" s="300"/>
      <c r="J219" s="300"/>
      <c r="K219" s="300"/>
      <c r="L219" s="300"/>
      <c r="M219" s="300"/>
      <c r="N219" s="300"/>
      <c r="O219" s="300"/>
    </row>
    <row r="220" spans="1:15" ht="12.75">
      <c r="A220" s="299">
        <v>4</v>
      </c>
      <c r="B220" s="194"/>
      <c r="C220" s="300"/>
      <c r="D220" s="17">
        <v>400</v>
      </c>
      <c r="E220" s="17" t="s">
        <v>18</v>
      </c>
      <c r="F220" s="89">
        <f>punbasjubvarios4*indiceoct08*0.82*frac4</f>
        <v>0</v>
      </c>
      <c r="G220" s="300"/>
      <c r="H220" s="300"/>
      <c r="I220" s="300"/>
      <c r="J220" s="300"/>
      <c r="K220" s="300"/>
      <c r="L220" s="300"/>
      <c r="M220" s="300"/>
      <c r="N220" s="300"/>
      <c r="O220" s="300"/>
    </row>
    <row r="221" spans="1:15" ht="12.75">
      <c r="A221" s="299">
        <v>4</v>
      </c>
      <c r="B221" s="194"/>
      <c r="C221" s="300"/>
      <c r="D221" s="17">
        <v>542</v>
      </c>
      <c r="E221" s="17" t="s">
        <v>430</v>
      </c>
      <c r="F221" s="244">
        <f>compbasicovarios4*indiceoct08*0.82*frac4</f>
        <v>0</v>
      </c>
      <c r="G221" s="300"/>
      <c r="H221" s="300"/>
      <c r="I221" s="300"/>
      <c r="J221" s="300"/>
      <c r="K221" s="300"/>
      <c r="L221" s="300"/>
      <c r="M221" s="300"/>
      <c r="N221" s="300"/>
      <c r="O221" s="300"/>
    </row>
    <row r="222" spans="1:7" ht="12.75" hidden="1">
      <c r="A222" s="299">
        <v>4</v>
      </c>
      <c r="B222" s="194"/>
      <c r="C222" s="300"/>
      <c r="D222" s="17">
        <v>404</v>
      </c>
      <c r="E222" s="17" t="s">
        <v>346</v>
      </c>
      <c r="F222" s="89">
        <f>F206*indiceoct08*0.82*frac4</f>
        <v>0</v>
      </c>
      <c r="G222" s="300"/>
    </row>
    <row r="223" spans="1:7" ht="12.75" hidden="1">
      <c r="A223" s="299">
        <v>4</v>
      </c>
      <c r="B223" s="194"/>
      <c r="C223" s="300"/>
      <c r="D223" s="17">
        <v>406</v>
      </c>
      <c r="E223" s="17" t="s">
        <v>19</v>
      </c>
      <c r="F223" s="89">
        <f>(F220+F221+F222+F225)*F215</f>
        <v>0</v>
      </c>
      <c r="G223" s="300"/>
    </row>
    <row r="224" spans="1:7" ht="12.75" hidden="1">
      <c r="A224" s="299">
        <v>4</v>
      </c>
      <c r="B224" s="194"/>
      <c r="C224" s="300"/>
      <c r="D224" s="17">
        <v>408</v>
      </c>
      <c r="E224" s="17" t="s">
        <v>366</v>
      </c>
      <c r="F224" s="89">
        <f>(F220+F221+F222+F225)*E211</f>
        <v>0</v>
      </c>
      <c r="G224" s="300"/>
    </row>
    <row r="225" spans="1:7" ht="12.75" hidden="1">
      <c r="A225" s="299">
        <v>4</v>
      </c>
      <c r="B225" s="194"/>
      <c r="C225" s="300"/>
      <c r="D225" s="17">
        <v>416</v>
      </c>
      <c r="E225" s="97" t="s">
        <v>347</v>
      </c>
      <c r="F225" s="89">
        <f>puntosproljorvarios4*proljoroct08*0.82*frac4</f>
        <v>0</v>
      </c>
      <c r="G225" s="300"/>
    </row>
    <row r="226" spans="1:7" ht="12.75" hidden="1">
      <c r="A226" s="299">
        <v>4</v>
      </c>
      <c r="B226" s="194"/>
      <c r="C226" s="300"/>
      <c r="D226" s="17">
        <v>432</v>
      </c>
      <c r="E226" s="17" t="s">
        <v>364</v>
      </c>
      <c r="F226" s="89">
        <f>cod06sep07varios4*0.82*frac4</f>
        <v>0</v>
      </c>
      <c r="G226" s="300"/>
    </row>
    <row r="227" spans="1:7" ht="12.75" hidden="1">
      <c r="A227" s="299">
        <v>4</v>
      </c>
      <c r="B227" s="194"/>
      <c r="C227" s="300"/>
      <c r="D227" s="17">
        <v>434</v>
      </c>
      <c r="E227" s="17" t="s">
        <v>345</v>
      </c>
      <c r="F227" s="89">
        <f>(F220+F221+F222+F223+F225+F226+F224)*0.07*0.95</f>
        <v>0</v>
      </c>
      <c r="G227" s="300"/>
    </row>
    <row r="228" spans="1:7" ht="12.75" hidden="1">
      <c r="A228" s="299">
        <v>4</v>
      </c>
      <c r="B228" s="194"/>
      <c r="C228" s="300"/>
      <c r="D228" s="17"/>
      <c r="E228" s="91"/>
      <c r="F228" s="171"/>
      <c r="G228" s="300"/>
    </row>
    <row r="229" spans="1:7" ht="13.5" hidden="1" thickBot="1">
      <c r="A229" s="299">
        <v>4</v>
      </c>
      <c r="B229" s="194"/>
      <c r="C229" s="300"/>
      <c r="D229" s="17"/>
      <c r="E229" s="91" t="s">
        <v>362</v>
      </c>
      <c r="F229" s="118">
        <v>0</v>
      </c>
      <c r="G229" s="300"/>
    </row>
    <row r="230" spans="1:7" ht="16.5" hidden="1" thickBot="1">
      <c r="A230" s="299">
        <v>4</v>
      </c>
      <c r="B230" s="194"/>
      <c r="C230" s="300"/>
      <c r="D230" s="92"/>
      <c r="E230" s="93" t="s">
        <v>20</v>
      </c>
      <c r="F230" s="94">
        <f>SUM(F220:F229)</f>
        <v>0</v>
      </c>
      <c r="G230" s="300"/>
    </row>
    <row r="231" spans="1:7" ht="12.75" hidden="1">
      <c r="A231" s="299">
        <v>4</v>
      </c>
      <c r="B231" s="194"/>
      <c r="C231" s="300"/>
      <c r="D231" s="17">
        <v>703</v>
      </c>
      <c r="E231" s="95" t="s">
        <v>348</v>
      </c>
      <c r="F231" s="96">
        <f>(F230-F229)*0.0025</f>
        <v>0</v>
      </c>
      <c r="G231" s="300"/>
    </row>
    <row r="232" spans="1:7" ht="12.75" hidden="1">
      <c r="A232" s="299">
        <v>4</v>
      </c>
      <c r="B232" s="194"/>
      <c r="C232" s="300"/>
      <c r="D232" s="18">
        <v>707</v>
      </c>
      <c r="E232" s="97" t="s">
        <v>22</v>
      </c>
      <c r="F232" s="16">
        <f>(F230-F229)*0.03</f>
        <v>0</v>
      </c>
      <c r="G232" s="300"/>
    </row>
    <row r="233" spans="1:7" ht="12.75" hidden="1">
      <c r="A233" s="299">
        <v>4</v>
      </c>
      <c r="B233" s="194"/>
      <c r="C233" s="300"/>
      <c r="D233" s="18">
        <v>709</v>
      </c>
      <c r="E233" s="97" t="s">
        <v>23</v>
      </c>
      <c r="F233" s="16">
        <f>(F230-F229)*0.0213</f>
        <v>0</v>
      </c>
      <c r="G233" s="300"/>
    </row>
    <row r="234" spans="1:7" ht="12.75" hidden="1">
      <c r="A234" s="299">
        <v>4</v>
      </c>
      <c r="B234" s="194"/>
      <c r="C234" s="300"/>
      <c r="D234" s="15">
        <v>710</v>
      </c>
      <c r="E234" s="97" t="s">
        <v>24</v>
      </c>
      <c r="F234" s="16">
        <f>(F230-F229)*0.00754</f>
        <v>0</v>
      </c>
      <c r="G234" s="300"/>
    </row>
    <row r="235" spans="1:7" ht="12.75" hidden="1">
      <c r="A235" s="299">
        <v>4</v>
      </c>
      <c r="B235" s="194"/>
      <c r="C235" s="300"/>
      <c r="D235" s="15">
        <v>713</v>
      </c>
      <c r="E235" s="97" t="s">
        <v>25</v>
      </c>
      <c r="F235" s="16">
        <f>(F230-F229)*0.007</f>
        <v>0</v>
      </c>
      <c r="G235" s="300"/>
    </row>
    <row r="236" spans="1:7" ht="13.5" hidden="1" thickBot="1">
      <c r="A236" s="299">
        <v>4</v>
      </c>
      <c r="B236" s="194"/>
      <c r="C236" s="300"/>
      <c r="D236" s="15"/>
      <c r="E236" s="98" t="s">
        <v>26</v>
      </c>
      <c r="F236" s="48">
        <v>0</v>
      </c>
      <c r="G236" s="300"/>
    </row>
    <row r="237" spans="1:7" ht="16.5" hidden="1" thickBot="1">
      <c r="A237" s="299">
        <v>4</v>
      </c>
      <c r="B237" s="194"/>
      <c r="C237" s="300"/>
      <c r="D237" s="99"/>
      <c r="E237" s="93" t="s">
        <v>27</v>
      </c>
      <c r="F237" s="94">
        <f>SUM(F231:F236)</f>
        <v>0</v>
      </c>
      <c r="G237" s="300"/>
    </row>
    <row r="238" spans="1:7" ht="13.5" hidden="1" thickBot="1">
      <c r="A238" s="299">
        <v>4</v>
      </c>
      <c r="B238" s="194"/>
      <c r="C238" s="300"/>
      <c r="D238" s="100"/>
      <c r="E238" s="101"/>
      <c r="F238" s="102"/>
      <c r="G238" s="300"/>
    </row>
    <row r="239" spans="1:7" ht="16.5" hidden="1" thickBot="1">
      <c r="A239" s="299">
        <v>4</v>
      </c>
      <c r="B239" s="195"/>
      <c r="C239" s="300"/>
      <c r="D239" s="103"/>
      <c r="E239" s="104" t="s">
        <v>28</v>
      </c>
      <c r="F239" s="105">
        <f>F230-F237</f>
        <v>0</v>
      </c>
      <c r="G239" s="300"/>
    </row>
    <row r="240" spans="1:7" s="263" customFormat="1" ht="12.75" hidden="1">
      <c r="A240" s="299">
        <v>4</v>
      </c>
      <c r="B240" s="194"/>
      <c r="C240" s="303"/>
      <c r="G240" s="299"/>
    </row>
    <row r="241" spans="1:15" ht="15.75" hidden="1">
      <c r="A241" s="299">
        <v>4</v>
      </c>
      <c r="B241" s="195"/>
      <c r="C241" s="195"/>
      <c r="D241" s="304"/>
      <c r="E241" s="305"/>
      <c r="F241" s="306"/>
      <c r="G241" s="195"/>
      <c r="H241" s="304"/>
      <c r="I241" s="305"/>
      <c r="J241" s="306"/>
      <c r="K241" s="300"/>
      <c r="L241" s="300"/>
      <c r="M241" s="300"/>
      <c r="N241" s="300"/>
      <c r="O241" s="300"/>
    </row>
    <row r="242" spans="1:17" ht="15.75">
      <c r="A242" s="299">
        <v>4</v>
      </c>
      <c r="B242" s="195"/>
      <c r="C242" s="304"/>
      <c r="D242" s="307"/>
      <c r="E242" s="308"/>
      <c r="F242" s="195"/>
      <c r="G242" s="304"/>
      <c r="H242" s="309"/>
      <c r="I242" s="310"/>
      <c r="J242" s="310"/>
      <c r="K242" s="310"/>
      <c r="L242" s="310"/>
      <c r="M242" s="195"/>
      <c r="N242" s="302"/>
      <c r="O242" s="194"/>
      <c r="P242" s="10"/>
      <c r="Q242" s="10"/>
    </row>
    <row r="243" spans="1:17" ht="12.75">
      <c r="A243">
        <v>4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4"/>
      <c r="N243" s="11"/>
      <c r="O243" s="107"/>
      <c r="P243" s="10"/>
      <c r="Q243" s="10"/>
    </row>
    <row r="244" spans="2:17" ht="33.75">
      <c r="B244" s="10"/>
      <c r="C244" s="10"/>
      <c r="E244" s="10"/>
      <c r="F244" s="10"/>
      <c r="G244" s="370" t="s">
        <v>428</v>
      </c>
      <c r="H244" s="10"/>
      <c r="I244" s="10"/>
      <c r="J244" s="10"/>
      <c r="K244" s="10"/>
      <c r="L244" s="10"/>
      <c r="M244" s="14"/>
      <c r="N244" s="11"/>
      <c r="O244" s="107"/>
      <c r="P244" s="10"/>
      <c r="Q244" s="10"/>
    </row>
    <row r="245" spans="2:17" ht="13.5" thickBot="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4"/>
      <c r="N245" s="11"/>
      <c r="O245" s="107"/>
      <c r="P245" s="10"/>
      <c r="Q245" s="10"/>
    </row>
    <row r="246" spans="5:11" ht="21" thickBot="1">
      <c r="E246" s="199" t="s">
        <v>384</v>
      </c>
      <c r="F246" s="200"/>
      <c r="G246" s="201"/>
      <c r="H246" s="202">
        <f>H28+H86+H148+H209</f>
        <v>120</v>
      </c>
      <c r="I246" s="203" t="s">
        <v>385</v>
      </c>
      <c r="J246" s="208"/>
      <c r="K246" s="208"/>
    </row>
    <row r="248" spans="4:6" ht="15.75">
      <c r="D248" s="10"/>
      <c r="E248" s="157" t="s">
        <v>426</v>
      </c>
      <c r="F248" s="10"/>
    </row>
    <row r="249" spans="2:8" ht="12.75">
      <c r="B249" s="2"/>
      <c r="C249" s="10"/>
      <c r="D249" s="17">
        <v>400</v>
      </c>
      <c r="E249" s="17" t="s">
        <v>18</v>
      </c>
      <c r="F249" s="89">
        <f aca="true" t="shared" si="28" ref="F249:F256">F38+F97+F159+F220</f>
        <v>558.309464</v>
      </c>
      <c r="G249" s="318"/>
      <c r="H249" s="364"/>
    </row>
    <row r="250" spans="2:8" ht="12.75">
      <c r="B250" s="2"/>
      <c r="C250" s="10"/>
      <c r="D250" s="17">
        <v>542</v>
      </c>
      <c r="E250" s="17" t="s">
        <v>430</v>
      </c>
      <c r="F250" s="89">
        <f t="shared" si="28"/>
        <v>97.74728</v>
      </c>
      <c r="G250" s="318"/>
      <c r="H250" s="364"/>
    </row>
    <row r="251" spans="2:8" ht="12.75">
      <c r="B251" s="2"/>
      <c r="C251" s="10"/>
      <c r="D251" s="17">
        <v>404</v>
      </c>
      <c r="E251" s="17" t="s">
        <v>346</v>
      </c>
      <c r="F251" s="89">
        <f t="shared" si="28"/>
        <v>86.2476</v>
      </c>
      <c r="G251" s="318"/>
      <c r="H251" s="364"/>
    </row>
    <row r="252" spans="2:8" ht="12.75">
      <c r="B252" s="2"/>
      <c r="C252" s="10"/>
      <c r="D252" s="17">
        <v>406</v>
      </c>
      <c r="E252" s="17" t="s">
        <v>19</v>
      </c>
      <c r="F252" s="89">
        <f t="shared" si="28"/>
        <v>890.7652128000001</v>
      </c>
      <c r="G252" s="318"/>
      <c r="H252" s="364"/>
    </row>
    <row r="253" spans="2:8" ht="12.75">
      <c r="B253" s="2"/>
      <c r="C253" s="10"/>
      <c r="D253" s="17">
        <v>408</v>
      </c>
      <c r="E253" s="17" t="s">
        <v>366</v>
      </c>
      <c r="F253" s="89">
        <f t="shared" si="28"/>
        <v>0</v>
      </c>
      <c r="G253" s="318"/>
      <c r="H253" s="364"/>
    </row>
    <row r="254" spans="2:8" ht="12.75">
      <c r="B254" s="2"/>
      <c r="C254" s="14"/>
      <c r="D254" s="17">
        <v>416</v>
      </c>
      <c r="E254" s="97" t="s">
        <v>347</v>
      </c>
      <c r="F254" s="89">
        <f t="shared" si="28"/>
        <v>0</v>
      </c>
      <c r="G254" s="318"/>
      <c r="H254" s="364"/>
    </row>
    <row r="255" spans="2:8" ht="12.75">
      <c r="B255" s="2"/>
      <c r="C255" s="14"/>
      <c r="D255" s="17">
        <v>432</v>
      </c>
      <c r="E255" s="17" t="s">
        <v>364</v>
      </c>
      <c r="F255" s="89">
        <f t="shared" si="28"/>
        <v>598.5999999999999</v>
      </c>
      <c r="G255" s="318"/>
      <c r="H255" s="364"/>
    </row>
    <row r="256" spans="2:8" ht="12.75">
      <c r="B256" s="2"/>
      <c r="C256" s="14"/>
      <c r="D256" s="17">
        <v>434</v>
      </c>
      <c r="E256" s="17" t="s">
        <v>345</v>
      </c>
      <c r="F256" s="89">
        <f t="shared" si="28"/>
        <v>148.40602552720003</v>
      </c>
      <c r="G256" s="318"/>
      <c r="H256" s="364"/>
    </row>
    <row r="257" spans="2:8" ht="13.5" thickBot="1">
      <c r="B257" s="2"/>
      <c r="C257" s="14"/>
      <c r="D257" s="17"/>
      <c r="E257" s="91" t="s">
        <v>362</v>
      </c>
      <c r="F257" s="368">
        <v>0</v>
      </c>
      <c r="G257" s="318"/>
      <c r="H257" s="364"/>
    </row>
    <row r="258" spans="2:8" ht="13.5" thickBot="1">
      <c r="B258" s="2"/>
      <c r="C258" s="14"/>
      <c r="D258" s="92"/>
      <c r="E258" s="93" t="s">
        <v>20</v>
      </c>
      <c r="F258" s="269">
        <f>SUM(F249:F257)</f>
        <v>2380.0755823272</v>
      </c>
      <c r="G258" s="321"/>
      <c r="H258" s="365"/>
    </row>
    <row r="259" spans="2:9" ht="12.75">
      <c r="B259" s="2"/>
      <c r="C259" s="14"/>
      <c r="D259" s="17">
        <v>703</v>
      </c>
      <c r="E259" s="95" t="s">
        <v>348</v>
      </c>
      <c r="F259" s="16">
        <f>F49+F108+F170+F231</f>
        <v>5.950188955818001</v>
      </c>
      <c r="G259" s="317"/>
      <c r="H259" s="366"/>
      <c r="I259" s="320"/>
    </row>
    <row r="260" spans="2:9" ht="12.75">
      <c r="B260" s="2"/>
      <c r="C260" s="14"/>
      <c r="D260" s="18">
        <v>707</v>
      </c>
      <c r="E260" s="97" t="s">
        <v>22</v>
      </c>
      <c r="F260" s="16">
        <f>F50+F109+F171+F232</f>
        <v>71.40226746981601</v>
      </c>
      <c r="G260" s="317"/>
      <c r="H260" s="366"/>
      <c r="I260" s="320"/>
    </row>
    <row r="261" spans="2:9" ht="12.75">
      <c r="B261" s="2"/>
      <c r="C261" s="14"/>
      <c r="D261" s="18">
        <v>709</v>
      </c>
      <c r="E261" s="97" t="s">
        <v>23</v>
      </c>
      <c r="F261" s="16">
        <f>F51+F110+F172+F233</f>
        <v>50.69560990356936</v>
      </c>
      <c r="G261" s="317"/>
      <c r="H261" s="366"/>
      <c r="I261" s="320"/>
    </row>
    <row r="262" spans="2:9" ht="12.75">
      <c r="B262" s="2"/>
      <c r="C262" s="14"/>
      <c r="D262" s="15">
        <v>710</v>
      </c>
      <c r="E262" s="97" t="s">
        <v>24</v>
      </c>
      <c r="F262" s="16">
        <f>F52+F111+F173+F234</f>
        <v>17.94576989074709</v>
      </c>
      <c r="G262" s="317"/>
      <c r="H262" s="366"/>
      <c r="I262" s="320"/>
    </row>
    <row r="263" spans="2:9" ht="12.75">
      <c r="B263" s="2"/>
      <c r="C263" s="10"/>
      <c r="D263" s="15">
        <v>713</v>
      </c>
      <c r="E263" s="97" t="s">
        <v>25</v>
      </c>
      <c r="F263" s="16">
        <f>F53+F112+F174+F235</f>
        <v>16.660529076290402</v>
      </c>
      <c r="G263" s="317"/>
      <c r="H263" s="366"/>
      <c r="I263" s="320"/>
    </row>
    <row r="264" spans="2:9" ht="13.5" thickBot="1">
      <c r="B264" s="2"/>
      <c r="C264" s="172"/>
      <c r="D264" s="15"/>
      <c r="E264" s="98" t="s">
        <v>26</v>
      </c>
      <c r="F264" s="316">
        <v>0</v>
      </c>
      <c r="G264" s="317"/>
      <c r="H264" s="366"/>
      <c r="I264" s="320"/>
    </row>
    <row r="265" spans="2:9" ht="13.5" thickBot="1">
      <c r="B265" s="2"/>
      <c r="C265" s="172"/>
      <c r="D265" s="99"/>
      <c r="E265" s="93" t="s">
        <v>27</v>
      </c>
      <c r="F265" s="268">
        <f>SUM(F259:F264)</f>
        <v>162.65436529624088</v>
      </c>
      <c r="G265" s="317"/>
      <c r="H265" s="366"/>
      <c r="I265" s="320"/>
    </row>
    <row r="266" spans="2:9" ht="13.5" thickBot="1">
      <c r="B266" s="2"/>
      <c r="C266" s="172"/>
      <c r="D266" s="100"/>
      <c r="E266" s="101"/>
      <c r="F266" s="89"/>
      <c r="G266" s="317"/>
      <c r="H266" s="366"/>
      <c r="I266" s="320"/>
    </row>
    <row r="267" spans="2:9" ht="16.5" thickBot="1">
      <c r="B267" s="2"/>
      <c r="C267" s="173"/>
      <c r="D267" s="103"/>
      <c r="E267" s="104" t="s">
        <v>28</v>
      </c>
      <c r="F267" s="270">
        <f>F258-F265</f>
        <v>2217.4212170309593</v>
      </c>
      <c r="G267" s="319"/>
      <c r="H267" s="367"/>
      <c r="I267" s="320"/>
    </row>
    <row r="268" spans="2:3" ht="12.75">
      <c r="B268" s="10"/>
      <c r="C268" s="10"/>
    </row>
    <row r="269" spans="2:17" ht="15.75">
      <c r="B269" s="106"/>
      <c r="C269" s="374"/>
      <c r="D269" s="375"/>
      <c r="E269" s="376"/>
      <c r="F269" s="353"/>
      <c r="G269" s="374"/>
      <c r="H269" s="283"/>
      <c r="I269" s="284"/>
      <c r="J269" s="284"/>
      <c r="K269" s="284"/>
      <c r="L269" s="284"/>
      <c r="M269" s="10"/>
      <c r="N269" s="75"/>
      <c r="O269" s="11"/>
      <c r="P269" s="10"/>
      <c r="Q269" s="10"/>
    </row>
    <row r="270" spans="2:17" ht="15.75">
      <c r="B270" s="106"/>
      <c r="C270" s="280"/>
      <c r="D270" s="281"/>
      <c r="E270" s="282"/>
      <c r="F270" s="186"/>
      <c r="G270" s="280"/>
      <c r="H270" s="377"/>
      <c r="I270" s="378"/>
      <c r="J270" s="378"/>
      <c r="K270" s="378"/>
      <c r="L270" s="378"/>
      <c r="M270" s="10"/>
      <c r="N270" s="75"/>
      <c r="O270" s="11"/>
      <c r="P270" s="10"/>
      <c r="Q270" s="10"/>
    </row>
    <row r="271" ht="13.5" thickBot="1"/>
    <row r="272" ht="17.25" thickBot="1" thickTop="1">
      <c r="D272" s="380" t="s">
        <v>429</v>
      </c>
    </row>
    <row r="273" spans="4:6" ht="15.75" thickTop="1">
      <c r="D273" s="325" t="s">
        <v>11</v>
      </c>
      <c r="E273" s="324"/>
      <c r="F273" s="371"/>
    </row>
    <row r="274" spans="4:6" ht="15">
      <c r="D274" s="325" t="s">
        <v>418</v>
      </c>
      <c r="E274" s="326"/>
      <c r="F274" s="372"/>
    </row>
    <row r="275" spans="4:6" ht="15">
      <c r="D275" s="325" t="s">
        <v>12</v>
      </c>
      <c r="E275" s="326"/>
      <c r="F275" s="372"/>
    </row>
    <row r="276" spans="4:6" ht="15">
      <c r="D276" s="325" t="s">
        <v>360</v>
      </c>
      <c r="E276" s="326"/>
      <c r="F276" s="372"/>
    </row>
    <row r="277" spans="4:6" ht="15">
      <c r="D277" s="327" t="s">
        <v>382</v>
      </c>
      <c r="E277" s="326"/>
      <c r="F277" s="372"/>
    </row>
    <row r="278" spans="4:6" ht="15">
      <c r="D278" s="328" t="s">
        <v>361</v>
      </c>
      <c r="E278" s="326"/>
      <c r="F278" s="372"/>
    </row>
    <row r="279" spans="4:6" ht="15.75" thickBot="1">
      <c r="D279" s="379" t="s">
        <v>419</v>
      </c>
      <c r="E279" s="329"/>
      <c r="F279" s="373"/>
    </row>
    <row r="280" ht="13.5" thickTop="1"/>
  </sheetData>
  <sheetProtection password="C9B5" sheet="1" objects="1" scenarios="1" selectLockedCells="1"/>
  <hyperlinks>
    <hyperlink ref="D278" r:id="rId1" display="www.agmeruruguay.com.ar"/>
    <hyperlink ref="D279" r:id="rId2" display="www.porunagmerdetodos.com.ar"/>
    <hyperlink ref="D277" r:id="rId3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7"/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56">
      <selection activeCell="D171" sqref="D171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19"/>
      <c r="B1" s="20" t="s">
        <v>33</v>
      </c>
      <c r="C1" s="21"/>
      <c r="D1" s="22"/>
      <c r="E1" s="22" t="s">
        <v>34</v>
      </c>
      <c r="F1" s="23" t="s">
        <v>35</v>
      </c>
      <c r="G1" s="23" t="s">
        <v>36</v>
      </c>
    </row>
    <row r="2" spans="1:7" ht="12.75">
      <c r="A2" s="24" t="s">
        <v>37</v>
      </c>
      <c r="B2" s="25" t="s">
        <v>38</v>
      </c>
      <c r="C2" s="24" t="s">
        <v>39</v>
      </c>
      <c r="D2" s="220" t="s">
        <v>400</v>
      </c>
      <c r="E2" s="26" t="s">
        <v>40</v>
      </c>
      <c r="F2" s="26" t="s">
        <v>41</v>
      </c>
      <c r="G2" s="26" t="s">
        <v>42</v>
      </c>
    </row>
    <row r="3" spans="1:7" ht="12.75">
      <c r="A3" s="27">
        <v>600</v>
      </c>
      <c r="B3" s="28" t="s">
        <v>43</v>
      </c>
      <c r="C3" s="27">
        <v>1300</v>
      </c>
      <c r="D3" s="221">
        <v>127</v>
      </c>
      <c r="E3" s="29">
        <v>0</v>
      </c>
      <c r="F3" s="27">
        <v>0</v>
      </c>
      <c r="G3" s="27">
        <v>0</v>
      </c>
    </row>
    <row r="4" spans="1:7" ht="12.75">
      <c r="A4" s="27">
        <v>603</v>
      </c>
      <c r="B4" s="28" t="s">
        <v>44</v>
      </c>
      <c r="C4" s="27">
        <v>3146</v>
      </c>
      <c r="D4" s="221">
        <v>0</v>
      </c>
      <c r="E4" s="29">
        <v>0</v>
      </c>
      <c r="F4" s="27">
        <v>0</v>
      </c>
      <c r="G4" s="27">
        <v>0</v>
      </c>
    </row>
    <row r="5" spans="1:7" ht="12.75">
      <c r="A5" s="27">
        <v>604</v>
      </c>
      <c r="B5" s="28" t="s">
        <v>45</v>
      </c>
      <c r="C5" s="27">
        <v>3146</v>
      </c>
      <c r="D5" s="221">
        <v>0</v>
      </c>
      <c r="E5" s="29">
        <v>0</v>
      </c>
      <c r="F5" s="27">
        <v>0</v>
      </c>
      <c r="G5" s="27">
        <v>0</v>
      </c>
    </row>
    <row r="6" spans="1:7" ht="12.75">
      <c r="A6" s="27">
        <v>605</v>
      </c>
      <c r="B6" s="28" t="s">
        <v>46</v>
      </c>
      <c r="C6" s="27">
        <v>2913</v>
      </c>
      <c r="D6" s="221">
        <v>0</v>
      </c>
      <c r="E6" s="29">
        <v>0</v>
      </c>
      <c r="F6" s="27">
        <v>0</v>
      </c>
      <c r="G6" s="27">
        <v>0</v>
      </c>
    </row>
    <row r="7" spans="1:7" ht="12.75">
      <c r="A7" s="27">
        <v>606</v>
      </c>
      <c r="B7" s="28" t="s">
        <v>47</v>
      </c>
      <c r="C7" s="27">
        <v>2913</v>
      </c>
      <c r="D7" s="221">
        <v>0</v>
      </c>
      <c r="E7" s="29">
        <v>0</v>
      </c>
      <c r="F7" s="27">
        <v>0</v>
      </c>
      <c r="G7" s="27">
        <v>0</v>
      </c>
    </row>
    <row r="8" spans="1:7" ht="12.75">
      <c r="A8" s="27">
        <v>608</v>
      </c>
      <c r="B8" s="28" t="s">
        <v>48</v>
      </c>
      <c r="C8" s="27">
        <v>2913</v>
      </c>
      <c r="D8" s="221">
        <v>0</v>
      </c>
      <c r="E8" s="29">
        <v>0</v>
      </c>
      <c r="F8" s="27">
        <v>0</v>
      </c>
      <c r="G8" s="27">
        <v>0</v>
      </c>
    </row>
    <row r="9" spans="1:7" ht="12.75">
      <c r="A9" s="27">
        <v>609</v>
      </c>
      <c r="B9" s="28" t="s">
        <v>49</v>
      </c>
      <c r="C9" s="27">
        <v>2000</v>
      </c>
      <c r="D9" s="221">
        <v>36</v>
      </c>
      <c r="E9" s="29">
        <v>0</v>
      </c>
      <c r="F9" s="27">
        <v>0</v>
      </c>
      <c r="G9" s="27">
        <v>0</v>
      </c>
    </row>
    <row r="10" spans="1:7" ht="12.75">
      <c r="A10" s="27">
        <v>611</v>
      </c>
      <c r="B10" s="28" t="s">
        <v>50</v>
      </c>
      <c r="C10" s="27">
        <v>1840</v>
      </c>
      <c r="D10" s="221">
        <v>57</v>
      </c>
      <c r="E10" s="29">
        <v>0</v>
      </c>
      <c r="F10" s="27">
        <v>0</v>
      </c>
      <c r="G10" s="27">
        <v>0</v>
      </c>
    </row>
    <row r="11" spans="1:7" ht="12.75">
      <c r="A11" s="27">
        <v>612</v>
      </c>
      <c r="B11" s="28" t="s">
        <v>51</v>
      </c>
      <c r="C11" s="27">
        <v>1690</v>
      </c>
      <c r="D11" s="221">
        <v>76</v>
      </c>
      <c r="E11" s="29">
        <v>0</v>
      </c>
      <c r="F11" s="27">
        <v>0</v>
      </c>
      <c r="G11" s="27">
        <v>0</v>
      </c>
    </row>
    <row r="12" spans="1:7" ht="12.75">
      <c r="A12" s="27">
        <v>613</v>
      </c>
      <c r="B12" s="28" t="s">
        <v>52</v>
      </c>
      <c r="C12" s="27">
        <v>1680</v>
      </c>
      <c r="D12" s="221">
        <v>77</v>
      </c>
      <c r="E12" s="29">
        <v>0</v>
      </c>
      <c r="F12" s="27">
        <v>0</v>
      </c>
      <c r="G12" s="27">
        <v>0</v>
      </c>
    </row>
    <row r="13" spans="1:7" ht="12.75">
      <c r="A13" s="27">
        <v>614</v>
      </c>
      <c r="B13" s="28" t="s">
        <v>53</v>
      </c>
      <c r="C13" s="27">
        <v>1740</v>
      </c>
      <c r="D13" s="221">
        <v>70</v>
      </c>
      <c r="E13" s="29">
        <v>0</v>
      </c>
      <c r="F13" s="27">
        <v>0</v>
      </c>
      <c r="G13" s="27">
        <v>0</v>
      </c>
    </row>
    <row r="14" spans="1:7" ht="12.75">
      <c r="A14" s="27">
        <v>615</v>
      </c>
      <c r="B14" s="28" t="s">
        <v>54</v>
      </c>
      <c r="C14" s="27">
        <v>1610</v>
      </c>
      <c r="D14" s="221">
        <v>87</v>
      </c>
      <c r="E14" s="29">
        <v>0</v>
      </c>
      <c r="F14" s="27">
        <v>0</v>
      </c>
      <c r="G14" s="27">
        <v>0</v>
      </c>
    </row>
    <row r="15" spans="1:7" ht="12.75">
      <c r="A15" s="27">
        <v>616</v>
      </c>
      <c r="B15" s="28" t="s">
        <v>55</v>
      </c>
      <c r="C15" s="27">
        <v>1740</v>
      </c>
      <c r="D15" s="221">
        <v>70</v>
      </c>
      <c r="E15" s="29">
        <v>0</v>
      </c>
      <c r="F15" s="27">
        <v>0</v>
      </c>
      <c r="G15" s="27">
        <v>0</v>
      </c>
    </row>
    <row r="16" spans="1:7" ht="12.75">
      <c r="A16" s="27">
        <v>617</v>
      </c>
      <c r="B16" s="28" t="s">
        <v>56</v>
      </c>
      <c r="C16" s="27">
        <v>1610</v>
      </c>
      <c r="D16" s="221">
        <v>87</v>
      </c>
      <c r="E16" s="29">
        <v>0</v>
      </c>
      <c r="F16" s="27">
        <v>0</v>
      </c>
      <c r="G16" s="27">
        <v>0</v>
      </c>
    </row>
    <row r="17" spans="1:7" ht="12.75">
      <c r="A17" s="27">
        <v>618</v>
      </c>
      <c r="B17" s="28" t="s">
        <v>57</v>
      </c>
      <c r="C17" s="27">
        <v>1500</v>
      </c>
      <c r="D17" s="221">
        <v>101</v>
      </c>
      <c r="E17" s="29">
        <v>0</v>
      </c>
      <c r="F17" s="27">
        <v>0</v>
      </c>
      <c r="G17" s="27">
        <v>0</v>
      </c>
    </row>
    <row r="18" spans="1:7" ht="12.75">
      <c r="A18" s="27">
        <v>619</v>
      </c>
      <c r="B18" s="28" t="s">
        <v>58</v>
      </c>
      <c r="C18" s="27">
        <v>1320</v>
      </c>
      <c r="D18" s="221">
        <v>124</v>
      </c>
      <c r="E18" s="29">
        <v>0</v>
      </c>
      <c r="F18" s="27">
        <v>0</v>
      </c>
      <c r="G18" s="27">
        <v>0</v>
      </c>
    </row>
    <row r="19" spans="1:7" ht="12.75">
      <c r="A19" s="27">
        <v>620</v>
      </c>
      <c r="B19" s="28" t="s">
        <v>59</v>
      </c>
      <c r="C19" s="27">
        <v>1550</v>
      </c>
      <c r="D19" s="221">
        <v>94</v>
      </c>
      <c r="E19" s="29">
        <v>0</v>
      </c>
      <c r="F19" s="27">
        <v>0</v>
      </c>
      <c r="G19" s="27">
        <v>0</v>
      </c>
    </row>
    <row r="20" spans="1:7" ht="12.75">
      <c r="A20" s="27">
        <v>621</v>
      </c>
      <c r="B20" s="28" t="s">
        <v>60</v>
      </c>
      <c r="C20" s="27">
        <v>1340</v>
      </c>
      <c r="D20" s="221">
        <v>122</v>
      </c>
      <c r="E20" s="29">
        <v>0</v>
      </c>
      <c r="F20" s="27">
        <v>0</v>
      </c>
      <c r="G20" s="27">
        <v>0</v>
      </c>
    </row>
    <row r="21" spans="1:7" ht="12.75">
      <c r="A21" s="27">
        <v>622</v>
      </c>
      <c r="B21" s="28" t="s">
        <v>61</v>
      </c>
      <c r="C21" s="27">
        <v>971</v>
      </c>
      <c r="D21" s="221">
        <v>170</v>
      </c>
      <c r="E21" s="29">
        <v>0</v>
      </c>
      <c r="F21" s="27">
        <v>0</v>
      </c>
      <c r="G21" s="27">
        <v>0</v>
      </c>
    </row>
    <row r="22" spans="1:7" ht="12.75">
      <c r="A22" s="27">
        <v>623</v>
      </c>
      <c r="B22" s="28" t="s">
        <v>62</v>
      </c>
      <c r="C22" s="27">
        <v>1690</v>
      </c>
      <c r="D22" s="221">
        <v>76</v>
      </c>
      <c r="E22" s="29">
        <v>0</v>
      </c>
      <c r="F22" s="27">
        <v>0</v>
      </c>
      <c r="G22" s="27">
        <v>0</v>
      </c>
    </row>
    <row r="23" spans="1:7" ht="12.75">
      <c r="A23" s="27">
        <v>624</v>
      </c>
      <c r="B23" s="28" t="s">
        <v>63</v>
      </c>
      <c r="C23" s="27">
        <v>1400</v>
      </c>
      <c r="D23" s="221">
        <v>114</v>
      </c>
      <c r="E23" s="29">
        <v>0</v>
      </c>
      <c r="F23" s="27">
        <v>0</v>
      </c>
      <c r="G23" s="27">
        <v>0</v>
      </c>
    </row>
    <row r="24" spans="1:7" ht="12.75">
      <c r="A24" s="27">
        <v>625</v>
      </c>
      <c r="B24" s="28" t="s">
        <v>64</v>
      </c>
      <c r="C24" s="27">
        <v>1370</v>
      </c>
      <c r="D24" s="221">
        <v>118</v>
      </c>
      <c r="E24" s="29">
        <v>0</v>
      </c>
      <c r="F24" s="27">
        <v>0</v>
      </c>
      <c r="G24" s="27">
        <v>0</v>
      </c>
    </row>
    <row r="25" spans="1:7" ht="12.75">
      <c r="A25" s="27">
        <v>626</v>
      </c>
      <c r="B25" s="28" t="s">
        <v>65</v>
      </c>
      <c r="C25" s="27">
        <v>1340</v>
      </c>
      <c r="D25" s="221">
        <v>122</v>
      </c>
      <c r="E25" s="29">
        <v>0</v>
      </c>
      <c r="F25" s="27">
        <v>0</v>
      </c>
      <c r="G25" s="27">
        <v>0</v>
      </c>
    </row>
    <row r="26" spans="1:7" ht="12.75">
      <c r="A26" s="27">
        <v>627</v>
      </c>
      <c r="B26" s="28" t="s">
        <v>66</v>
      </c>
      <c r="C26" s="27">
        <v>1300</v>
      </c>
      <c r="D26" s="221">
        <v>127</v>
      </c>
      <c r="E26" s="29">
        <v>0</v>
      </c>
      <c r="F26" s="27">
        <v>0</v>
      </c>
      <c r="G26" s="27">
        <v>0</v>
      </c>
    </row>
    <row r="27" spans="1:7" ht="12.75">
      <c r="A27" s="27">
        <v>628</v>
      </c>
      <c r="B27" s="28" t="s">
        <v>67</v>
      </c>
      <c r="C27" s="27">
        <v>980</v>
      </c>
      <c r="D27" s="221">
        <v>169</v>
      </c>
      <c r="E27" s="29">
        <v>0</v>
      </c>
      <c r="F27" s="27">
        <v>0</v>
      </c>
      <c r="G27" s="27">
        <v>0</v>
      </c>
    </row>
    <row r="28" spans="1:7" ht="12.75">
      <c r="A28" s="27">
        <v>629</v>
      </c>
      <c r="B28" s="28" t="s">
        <v>68</v>
      </c>
      <c r="C28" s="27">
        <v>941</v>
      </c>
      <c r="D28" s="221">
        <v>174</v>
      </c>
      <c r="E28" s="29">
        <v>0</v>
      </c>
      <c r="F28" s="27">
        <v>0</v>
      </c>
      <c r="G28" s="27">
        <v>0</v>
      </c>
    </row>
    <row r="29" spans="1:7" ht="12.75">
      <c r="A29" s="27">
        <v>630</v>
      </c>
      <c r="B29" s="28" t="s">
        <v>69</v>
      </c>
      <c r="C29" s="27">
        <v>1170</v>
      </c>
      <c r="D29" s="221">
        <v>144</v>
      </c>
      <c r="E29" s="29">
        <v>0</v>
      </c>
      <c r="F29" s="27">
        <v>0</v>
      </c>
      <c r="G29" s="27">
        <v>0</v>
      </c>
    </row>
    <row r="30" spans="1:7" ht="12.75">
      <c r="A30" s="27">
        <v>631</v>
      </c>
      <c r="B30" s="28" t="s">
        <v>70</v>
      </c>
      <c r="C30" s="27">
        <v>1170</v>
      </c>
      <c r="D30" s="221">
        <v>144</v>
      </c>
      <c r="E30" s="29">
        <v>0</v>
      </c>
      <c r="F30" s="27">
        <v>0</v>
      </c>
      <c r="G30" s="27">
        <v>0</v>
      </c>
    </row>
    <row r="31" spans="1:7" ht="12.75">
      <c r="A31" s="27">
        <v>632</v>
      </c>
      <c r="B31" s="28" t="s">
        <v>71</v>
      </c>
      <c r="C31" s="27">
        <v>941</v>
      </c>
      <c r="D31" s="221">
        <v>174</v>
      </c>
      <c r="E31" s="29">
        <v>0</v>
      </c>
      <c r="F31" s="27">
        <v>0</v>
      </c>
      <c r="G31" s="27">
        <v>0</v>
      </c>
    </row>
    <row r="32" spans="1:7" ht="12.75">
      <c r="A32" s="27">
        <v>633</v>
      </c>
      <c r="B32" s="28" t="s">
        <v>72</v>
      </c>
      <c r="C32" s="27">
        <v>941</v>
      </c>
      <c r="D32" s="221">
        <v>174</v>
      </c>
      <c r="E32" s="29">
        <v>0</v>
      </c>
      <c r="F32" s="27">
        <v>0</v>
      </c>
      <c r="G32" s="27">
        <v>0</v>
      </c>
    </row>
    <row r="33" spans="1:7" ht="12.75">
      <c r="A33" s="27">
        <v>634</v>
      </c>
      <c r="B33" s="28" t="s">
        <v>73</v>
      </c>
      <c r="C33" s="27">
        <v>971</v>
      </c>
      <c r="D33" s="221">
        <v>170</v>
      </c>
      <c r="E33" s="29">
        <v>0</v>
      </c>
      <c r="F33" s="27">
        <v>0</v>
      </c>
      <c r="G33" s="27">
        <v>0</v>
      </c>
    </row>
    <row r="34" spans="1:7" ht="12.75">
      <c r="A34" s="27">
        <v>636</v>
      </c>
      <c r="B34" s="28" t="s">
        <v>74</v>
      </c>
      <c r="C34" s="27">
        <v>971</v>
      </c>
      <c r="D34" s="221">
        <v>170</v>
      </c>
      <c r="E34" s="29">
        <v>0</v>
      </c>
      <c r="F34" s="27">
        <v>0</v>
      </c>
      <c r="G34" s="27">
        <v>0</v>
      </c>
    </row>
    <row r="35" spans="1:7" ht="12.75">
      <c r="A35" s="27">
        <v>637</v>
      </c>
      <c r="B35" s="28" t="s">
        <v>75</v>
      </c>
      <c r="C35" s="27">
        <v>971</v>
      </c>
      <c r="D35" s="221">
        <v>170</v>
      </c>
      <c r="E35" s="29">
        <v>0</v>
      </c>
      <c r="F35" s="27">
        <v>0</v>
      </c>
      <c r="G35" s="27">
        <v>0</v>
      </c>
    </row>
    <row r="36" spans="1:7" ht="12.75">
      <c r="A36" s="27">
        <v>638</v>
      </c>
      <c r="B36" s="28" t="s">
        <v>76</v>
      </c>
      <c r="C36" s="27">
        <v>906</v>
      </c>
      <c r="D36" s="221">
        <v>178</v>
      </c>
      <c r="E36" s="29">
        <v>0</v>
      </c>
      <c r="F36" s="27">
        <v>0</v>
      </c>
      <c r="G36" s="27">
        <v>0</v>
      </c>
    </row>
    <row r="37" spans="1:7" ht="12.75">
      <c r="A37" s="27">
        <v>639</v>
      </c>
      <c r="B37" s="28" t="s">
        <v>77</v>
      </c>
      <c r="C37" s="27">
        <v>1300</v>
      </c>
      <c r="D37" s="221">
        <v>127</v>
      </c>
      <c r="E37" s="29">
        <v>0</v>
      </c>
      <c r="F37" s="27">
        <v>0</v>
      </c>
      <c r="G37" s="27">
        <v>0</v>
      </c>
    </row>
    <row r="38" spans="1:7" ht="12.75">
      <c r="A38" s="27">
        <v>640</v>
      </c>
      <c r="B38" s="28" t="s">
        <v>78</v>
      </c>
      <c r="C38" s="27">
        <v>2830</v>
      </c>
      <c r="D38" s="221">
        <v>0</v>
      </c>
      <c r="E38" s="29">
        <v>0</v>
      </c>
      <c r="F38" s="27">
        <v>0</v>
      </c>
      <c r="G38" s="27">
        <v>0</v>
      </c>
    </row>
    <row r="39" spans="1:7" ht="12.75">
      <c r="A39" s="27">
        <v>641</v>
      </c>
      <c r="B39" s="28" t="s">
        <v>79</v>
      </c>
      <c r="C39" s="27">
        <v>1550</v>
      </c>
      <c r="D39" s="221">
        <v>94</v>
      </c>
      <c r="E39" s="29">
        <v>0</v>
      </c>
      <c r="F39" s="27">
        <v>0</v>
      </c>
      <c r="G39" s="27">
        <v>0</v>
      </c>
    </row>
    <row r="40" spans="1:7" ht="12.75">
      <c r="A40" s="27">
        <v>642</v>
      </c>
      <c r="B40" s="28" t="s">
        <v>80</v>
      </c>
      <c r="C40" s="27">
        <v>1170</v>
      </c>
      <c r="D40" s="221">
        <v>144</v>
      </c>
      <c r="E40" s="29">
        <v>0</v>
      </c>
      <c r="F40" s="27">
        <v>0</v>
      </c>
      <c r="G40" s="27">
        <v>0</v>
      </c>
    </row>
    <row r="41" spans="1:7" ht="12.75">
      <c r="A41" s="27">
        <v>643</v>
      </c>
      <c r="B41" s="28" t="s">
        <v>81</v>
      </c>
      <c r="C41" s="27">
        <v>1500</v>
      </c>
      <c r="D41" s="221">
        <v>101</v>
      </c>
      <c r="E41" s="29">
        <v>0</v>
      </c>
      <c r="F41" s="27">
        <v>0</v>
      </c>
      <c r="G41" s="27">
        <v>0</v>
      </c>
    </row>
    <row r="42" spans="1:7" ht="12.75">
      <c r="A42" s="27">
        <v>644</v>
      </c>
      <c r="B42" s="28" t="s">
        <v>82</v>
      </c>
      <c r="C42" s="27">
        <v>2490</v>
      </c>
      <c r="D42" s="221">
        <v>0</v>
      </c>
      <c r="E42" s="29">
        <v>0</v>
      </c>
      <c r="F42" s="27">
        <v>0</v>
      </c>
      <c r="G42" s="27">
        <v>0</v>
      </c>
    </row>
    <row r="43" spans="1:7" ht="12.75">
      <c r="A43" s="27">
        <v>645</v>
      </c>
      <c r="B43" s="28" t="s">
        <v>83</v>
      </c>
      <c r="C43" s="27">
        <v>2329</v>
      </c>
      <c r="D43" s="221">
        <v>0</v>
      </c>
      <c r="E43" s="29">
        <v>0</v>
      </c>
      <c r="F43" s="27">
        <v>0</v>
      </c>
      <c r="G43" s="27">
        <v>0</v>
      </c>
    </row>
    <row r="44" spans="1:7" ht="12.75">
      <c r="A44" s="27">
        <v>646</v>
      </c>
      <c r="B44" s="28" t="s">
        <v>84</v>
      </c>
      <c r="C44" s="27">
        <v>906</v>
      </c>
      <c r="D44" s="221">
        <v>178</v>
      </c>
      <c r="E44" s="29">
        <v>0</v>
      </c>
      <c r="F44" s="27">
        <v>0</v>
      </c>
      <c r="G44" s="27">
        <v>0</v>
      </c>
    </row>
    <row r="45" spans="1:7" ht="12.75">
      <c r="A45" s="27">
        <v>647</v>
      </c>
      <c r="B45" s="28" t="s">
        <v>85</v>
      </c>
      <c r="C45" s="27">
        <v>1830</v>
      </c>
      <c r="D45" s="221">
        <v>58</v>
      </c>
      <c r="E45" s="29">
        <v>0</v>
      </c>
      <c r="F45" s="27">
        <v>0</v>
      </c>
      <c r="G45" s="27">
        <v>0</v>
      </c>
    </row>
    <row r="46" spans="1:7" ht="12.75">
      <c r="A46" s="27">
        <v>648</v>
      </c>
      <c r="B46" s="28" t="s">
        <v>86</v>
      </c>
      <c r="C46" s="27">
        <v>1740</v>
      </c>
      <c r="D46" s="221">
        <v>70</v>
      </c>
      <c r="E46" s="29">
        <v>0</v>
      </c>
      <c r="F46" s="27">
        <v>0</v>
      </c>
      <c r="G46" s="27">
        <v>0</v>
      </c>
    </row>
    <row r="47" spans="1:7" ht="12.75">
      <c r="A47" s="27">
        <v>649</v>
      </c>
      <c r="B47" s="28" t="s">
        <v>87</v>
      </c>
      <c r="C47" s="27">
        <v>971</v>
      </c>
      <c r="D47" s="221">
        <v>170</v>
      </c>
      <c r="E47" s="29">
        <v>0</v>
      </c>
      <c r="F47" s="27">
        <v>0</v>
      </c>
      <c r="G47" s="27">
        <v>0</v>
      </c>
    </row>
    <row r="48" spans="1:7" ht="12.75">
      <c r="A48" s="27">
        <v>650</v>
      </c>
      <c r="B48" s="28" t="s">
        <v>88</v>
      </c>
      <c r="C48" s="27">
        <v>1740</v>
      </c>
      <c r="D48" s="221">
        <v>70</v>
      </c>
      <c r="E48" s="29">
        <v>0</v>
      </c>
      <c r="F48" s="27">
        <v>750</v>
      </c>
      <c r="G48" s="27">
        <v>0</v>
      </c>
    </row>
    <row r="49" spans="1:7" ht="12.75">
      <c r="A49" s="27">
        <v>651</v>
      </c>
      <c r="B49" s="28" t="s">
        <v>89</v>
      </c>
      <c r="C49" s="27">
        <v>971</v>
      </c>
      <c r="D49" s="221">
        <v>170</v>
      </c>
      <c r="E49" s="29">
        <v>0</v>
      </c>
      <c r="F49" s="27">
        <v>0</v>
      </c>
      <c r="G49" s="27">
        <v>0</v>
      </c>
    </row>
    <row r="50" spans="1:7" ht="12.75">
      <c r="A50" s="27">
        <v>652</v>
      </c>
      <c r="B50" s="28" t="s">
        <v>90</v>
      </c>
      <c r="C50" s="27">
        <v>1250</v>
      </c>
      <c r="D50" s="221">
        <v>134</v>
      </c>
      <c r="E50" s="29">
        <v>0</v>
      </c>
      <c r="F50" s="27">
        <v>0</v>
      </c>
      <c r="G50" s="27">
        <v>0</v>
      </c>
    </row>
    <row r="51" spans="1:7" ht="12.75">
      <c r="A51" s="27">
        <v>653</v>
      </c>
      <c r="B51" s="28" t="s">
        <v>91</v>
      </c>
      <c r="C51" s="27">
        <v>1400</v>
      </c>
      <c r="D51" s="221">
        <v>114</v>
      </c>
      <c r="E51" s="29">
        <v>0</v>
      </c>
      <c r="F51" s="27">
        <v>100</v>
      </c>
      <c r="G51" s="27">
        <v>0</v>
      </c>
    </row>
    <row r="52" spans="1:7" ht="12.75">
      <c r="A52" s="27">
        <v>654</v>
      </c>
      <c r="B52" s="28" t="s">
        <v>92</v>
      </c>
      <c r="C52" s="27">
        <v>1690</v>
      </c>
      <c r="D52" s="221">
        <v>76</v>
      </c>
      <c r="E52" s="29">
        <v>0</v>
      </c>
      <c r="F52" s="27">
        <v>300</v>
      </c>
      <c r="G52" s="27">
        <v>0</v>
      </c>
    </row>
    <row r="53" spans="1:7" ht="12.75">
      <c r="A53" s="27">
        <v>655</v>
      </c>
      <c r="B53" s="28" t="s">
        <v>93</v>
      </c>
      <c r="C53" s="27">
        <v>1550</v>
      </c>
      <c r="D53" s="221">
        <v>94</v>
      </c>
      <c r="E53" s="29">
        <v>0</v>
      </c>
      <c r="F53" s="27">
        <v>200</v>
      </c>
      <c r="G53" s="27">
        <v>0</v>
      </c>
    </row>
    <row r="54" spans="1:7" ht="12.75">
      <c r="A54" s="27">
        <v>657</v>
      </c>
      <c r="B54" s="28" t="s">
        <v>94</v>
      </c>
      <c r="C54" s="27">
        <v>1340</v>
      </c>
      <c r="D54" s="221">
        <v>122</v>
      </c>
      <c r="E54" s="29">
        <v>0</v>
      </c>
      <c r="F54" s="27">
        <v>0</v>
      </c>
      <c r="G54" s="27">
        <v>0</v>
      </c>
    </row>
    <row r="55" spans="1:7" ht="12.75">
      <c r="A55" s="27">
        <v>658</v>
      </c>
      <c r="B55" s="28" t="s">
        <v>95</v>
      </c>
      <c r="C55" s="27">
        <v>1300</v>
      </c>
      <c r="D55" s="221">
        <v>127</v>
      </c>
      <c r="E55" s="29">
        <v>0</v>
      </c>
      <c r="F55" s="27">
        <v>0</v>
      </c>
      <c r="G55" s="27">
        <v>0</v>
      </c>
    </row>
    <row r="56" spans="1:7" ht="12.75">
      <c r="A56" s="27">
        <v>659</v>
      </c>
      <c r="B56" s="28" t="s">
        <v>96</v>
      </c>
      <c r="C56" s="27">
        <v>1340</v>
      </c>
      <c r="D56" s="221">
        <v>122</v>
      </c>
      <c r="E56" s="29">
        <v>0</v>
      </c>
      <c r="F56" s="27">
        <v>0</v>
      </c>
      <c r="G56" s="27">
        <v>0</v>
      </c>
    </row>
    <row r="57" spans="1:7" ht="12.75">
      <c r="A57" s="27">
        <v>660</v>
      </c>
      <c r="B57" s="28" t="s">
        <v>97</v>
      </c>
      <c r="C57" s="27">
        <v>1300</v>
      </c>
      <c r="D57" s="221">
        <v>127</v>
      </c>
      <c r="E57" s="29">
        <v>0</v>
      </c>
      <c r="F57" s="27">
        <v>0</v>
      </c>
      <c r="G57" s="27">
        <v>0</v>
      </c>
    </row>
    <row r="58" spans="1:7" ht="12.75">
      <c r="A58" s="27">
        <v>661</v>
      </c>
      <c r="B58" s="28" t="s">
        <v>98</v>
      </c>
      <c r="C58" s="27">
        <v>1300</v>
      </c>
      <c r="D58" s="221">
        <v>127</v>
      </c>
      <c r="E58" s="29">
        <v>0</v>
      </c>
      <c r="F58" s="27">
        <v>0</v>
      </c>
      <c r="G58" s="27">
        <v>0</v>
      </c>
    </row>
    <row r="59" spans="1:7" ht="12.75">
      <c r="A59" s="27">
        <v>662</v>
      </c>
      <c r="B59" s="28" t="s">
        <v>99</v>
      </c>
      <c r="C59" s="27">
        <v>1690</v>
      </c>
      <c r="D59" s="221">
        <v>76</v>
      </c>
      <c r="E59" s="29">
        <v>0</v>
      </c>
      <c r="F59" s="27">
        <v>708</v>
      </c>
      <c r="G59" s="27">
        <v>0</v>
      </c>
    </row>
    <row r="60" spans="1:7" ht="12.75">
      <c r="A60" s="27">
        <v>663</v>
      </c>
      <c r="B60" s="28" t="s">
        <v>100</v>
      </c>
      <c r="C60" s="27">
        <v>1500</v>
      </c>
      <c r="D60" s="221">
        <v>101</v>
      </c>
      <c r="E60" s="29">
        <v>0</v>
      </c>
      <c r="F60" s="27">
        <v>0</v>
      </c>
      <c r="G60" s="27">
        <v>0</v>
      </c>
    </row>
    <row r="61" spans="1:7" ht="12.75">
      <c r="A61" s="27">
        <v>664</v>
      </c>
      <c r="B61" s="28" t="s">
        <v>101</v>
      </c>
      <c r="C61" s="27">
        <v>971</v>
      </c>
      <c r="D61" s="221">
        <v>170</v>
      </c>
      <c r="E61" s="29">
        <v>0</v>
      </c>
      <c r="F61" s="27">
        <v>620</v>
      </c>
      <c r="G61" s="27">
        <v>0</v>
      </c>
    </row>
    <row r="62" spans="1:7" ht="12.75">
      <c r="A62" s="27">
        <v>667</v>
      </c>
      <c r="B62" s="28" t="s">
        <v>102</v>
      </c>
      <c r="C62" s="27">
        <v>2000</v>
      </c>
      <c r="D62" s="221">
        <v>36</v>
      </c>
      <c r="E62" s="29">
        <v>0</v>
      </c>
      <c r="F62" s="27">
        <v>830</v>
      </c>
      <c r="G62" s="27">
        <v>0</v>
      </c>
    </row>
    <row r="63" spans="1:7" ht="12.75">
      <c r="A63" s="27">
        <v>668</v>
      </c>
      <c r="B63" s="28" t="s">
        <v>103</v>
      </c>
      <c r="C63" s="27">
        <v>1840</v>
      </c>
      <c r="D63" s="221">
        <v>57</v>
      </c>
      <c r="E63" s="29">
        <v>0</v>
      </c>
      <c r="F63" s="27">
        <v>830</v>
      </c>
      <c r="G63" s="27">
        <v>0</v>
      </c>
    </row>
    <row r="64" spans="1:7" ht="12.75">
      <c r="A64" s="27">
        <v>669</v>
      </c>
      <c r="B64" s="28" t="s">
        <v>104</v>
      </c>
      <c r="C64" s="27">
        <v>1680</v>
      </c>
      <c r="D64" s="221">
        <v>77</v>
      </c>
      <c r="E64" s="29">
        <v>0</v>
      </c>
      <c r="F64" s="27">
        <v>830</v>
      </c>
      <c r="G64" s="27">
        <v>0</v>
      </c>
    </row>
    <row r="65" spans="1:7" ht="12.75">
      <c r="A65" s="27">
        <v>670</v>
      </c>
      <c r="B65" s="28" t="s">
        <v>105</v>
      </c>
      <c r="C65" s="27">
        <v>1740</v>
      </c>
      <c r="D65" s="221">
        <v>70</v>
      </c>
      <c r="E65" s="29">
        <v>0</v>
      </c>
      <c r="F65" s="27">
        <v>750</v>
      </c>
      <c r="G65" s="27">
        <v>0</v>
      </c>
    </row>
    <row r="66" spans="1:7" ht="12.75">
      <c r="A66" s="27">
        <v>671</v>
      </c>
      <c r="B66" s="28" t="s">
        <v>106</v>
      </c>
      <c r="C66" s="27">
        <v>1610</v>
      </c>
      <c r="D66" s="221">
        <v>87</v>
      </c>
      <c r="E66" s="29">
        <v>0</v>
      </c>
      <c r="F66" s="27">
        <v>750</v>
      </c>
      <c r="G66" s="27">
        <v>0</v>
      </c>
    </row>
    <row r="67" spans="1:7" ht="12.75">
      <c r="A67" s="27">
        <v>672</v>
      </c>
      <c r="B67" s="28" t="s">
        <v>107</v>
      </c>
      <c r="C67" s="27">
        <v>2000</v>
      </c>
      <c r="D67" s="221">
        <v>36</v>
      </c>
      <c r="E67" s="29">
        <v>0</v>
      </c>
      <c r="F67" s="27">
        <v>300</v>
      </c>
      <c r="G67" s="27">
        <v>0</v>
      </c>
    </row>
    <row r="68" spans="1:7" ht="12.75">
      <c r="A68" s="27">
        <v>673</v>
      </c>
      <c r="B68" s="28" t="s">
        <v>108</v>
      </c>
      <c r="C68" s="27">
        <v>1840</v>
      </c>
      <c r="D68" s="221">
        <v>57</v>
      </c>
      <c r="E68" s="29">
        <v>0</v>
      </c>
      <c r="F68" s="27">
        <v>300</v>
      </c>
      <c r="G68" s="27">
        <v>0</v>
      </c>
    </row>
    <row r="69" spans="1:7" ht="12.75">
      <c r="A69" s="27">
        <v>674</v>
      </c>
      <c r="B69" s="28" t="s">
        <v>109</v>
      </c>
      <c r="C69" s="27">
        <v>1680</v>
      </c>
      <c r="D69" s="221">
        <v>77</v>
      </c>
      <c r="E69" s="29">
        <v>0</v>
      </c>
      <c r="F69" s="27">
        <v>300</v>
      </c>
      <c r="G69" s="27">
        <v>0</v>
      </c>
    </row>
    <row r="70" spans="1:7" ht="12.75">
      <c r="A70" s="27">
        <v>675</v>
      </c>
      <c r="B70" s="28" t="s">
        <v>110</v>
      </c>
      <c r="C70" s="27">
        <v>1740</v>
      </c>
      <c r="D70" s="221">
        <v>70</v>
      </c>
      <c r="E70" s="29">
        <v>0</v>
      </c>
      <c r="F70" s="27">
        <v>725</v>
      </c>
      <c r="G70" s="27">
        <v>0</v>
      </c>
    </row>
    <row r="71" spans="1:7" ht="12.75">
      <c r="A71" s="27">
        <v>676</v>
      </c>
      <c r="B71" s="28" t="s">
        <v>111</v>
      </c>
      <c r="C71" s="27">
        <v>1610</v>
      </c>
      <c r="D71" s="221">
        <v>87</v>
      </c>
      <c r="E71" s="29">
        <v>0</v>
      </c>
      <c r="F71" s="27">
        <v>725</v>
      </c>
      <c r="G71" s="27">
        <v>0</v>
      </c>
    </row>
    <row r="72" spans="1:7" ht="12.75">
      <c r="A72" s="27">
        <v>677</v>
      </c>
      <c r="B72" s="28" t="s">
        <v>112</v>
      </c>
      <c r="C72" s="27">
        <v>1500</v>
      </c>
      <c r="D72" s="221">
        <v>101</v>
      </c>
      <c r="E72" s="29">
        <v>0</v>
      </c>
      <c r="F72" s="27">
        <v>725</v>
      </c>
      <c r="G72" s="27">
        <v>0</v>
      </c>
    </row>
    <row r="73" spans="1:7" ht="12.75">
      <c r="A73" s="27">
        <v>678</v>
      </c>
      <c r="B73" s="28" t="s">
        <v>113</v>
      </c>
      <c r="C73" s="27">
        <v>1320</v>
      </c>
      <c r="D73" s="221">
        <v>124</v>
      </c>
      <c r="E73" s="29">
        <v>0</v>
      </c>
      <c r="F73" s="27">
        <v>590</v>
      </c>
      <c r="G73" s="27">
        <v>0</v>
      </c>
    </row>
    <row r="74" spans="1:7" ht="12.75">
      <c r="A74" s="27">
        <v>679</v>
      </c>
      <c r="B74" s="28" t="s">
        <v>114</v>
      </c>
      <c r="C74" s="27">
        <v>1690</v>
      </c>
      <c r="D74" s="221">
        <v>76</v>
      </c>
      <c r="E74" s="29">
        <v>0</v>
      </c>
      <c r="F74" s="27">
        <v>708</v>
      </c>
      <c r="G74" s="27">
        <v>0</v>
      </c>
    </row>
    <row r="75" spans="1:7" ht="12.75">
      <c r="A75" s="27">
        <v>680</v>
      </c>
      <c r="B75" s="28" t="s">
        <v>115</v>
      </c>
      <c r="C75" s="27">
        <v>1550</v>
      </c>
      <c r="D75" s="221">
        <v>94</v>
      </c>
      <c r="E75" s="29">
        <v>0</v>
      </c>
      <c r="F75" s="27">
        <v>708</v>
      </c>
      <c r="G75" s="27">
        <v>0</v>
      </c>
    </row>
    <row r="76" spans="1:7" ht="12.75">
      <c r="A76" s="27">
        <v>681</v>
      </c>
      <c r="B76" s="28" t="s">
        <v>116</v>
      </c>
      <c r="C76" s="27">
        <v>1400</v>
      </c>
      <c r="D76" s="221">
        <v>114</v>
      </c>
      <c r="E76" s="29">
        <v>0</v>
      </c>
      <c r="F76" s="27">
        <v>708</v>
      </c>
      <c r="G76" s="27">
        <v>0</v>
      </c>
    </row>
    <row r="77" spans="1:7" ht="12.75">
      <c r="A77" s="27">
        <v>682</v>
      </c>
      <c r="B77" s="30" t="s">
        <v>117</v>
      </c>
      <c r="C77" s="27">
        <v>1170</v>
      </c>
      <c r="D77" s="221">
        <v>144</v>
      </c>
      <c r="E77" s="29">
        <v>0</v>
      </c>
      <c r="F77" s="27">
        <v>580</v>
      </c>
      <c r="G77" s="27">
        <v>0</v>
      </c>
    </row>
    <row r="78" spans="1:7" ht="12.75">
      <c r="A78" s="27">
        <v>683</v>
      </c>
      <c r="B78" s="30" t="s">
        <v>118</v>
      </c>
      <c r="C78" s="27">
        <v>1170</v>
      </c>
      <c r="D78" s="221">
        <v>144</v>
      </c>
      <c r="E78" s="29">
        <v>0</v>
      </c>
      <c r="F78" s="27">
        <v>580</v>
      </c>
      <c r="G78" s="27">
        <v>0</v>
      </c>
    </row>
    <row r="79" spans="1:7" ht="12.75">
      <c r="A79" s="27">
        <v>684</v>
      </c>
      <c r="B79" s="28" t="s">
        <v>119</v>
      </c>
      <c r="C79" s="27">
        <v>1170</v>
      </c>
      <c r="D79" s="221">
        <v>144</v>
      </c>
      <c r="E79" s="29">
        <v>0</v>
      </c>
      <c r="F79" s="27">
        <v>580</v>
      </c>
      <c r="G79" s="27">
        <v>0</v>
      </c>
    </row>
    <row r="80" spans="1:7" ht="12.75">
      <c r="A80" s="27">
        <v>685</v>
      </c>
      <c r="B80" s="28" t="s">
        <v>120</v>
      </c>
      <c r="C80" s="27">
        <v>1500</v>
      </c>
      <c r="D80" s="221">
        <v>101</v>
      </c>
      <c r="E80" s="29">
        <v>0</v>
      </c>
      <c r="F80" s="27">
        <v>750</v>
      </c>
      <c r="G80" s="27">
        <v>0</v>
      </c>
    </row>
    <row r="81" spans="1:7" ht="12.75">
      <c r="A81" s="27">
        <v>686</v>
      </c>
      <c r="B81" s="28" t="s">
        <v>121</v>
      </c>
      <c r="C81" s="27">
        <v>2000</v>
      </c>
      <c r="D81" s="221">
        <v>36</v>
      </c>
      <c r="E81" s="29">
        <v>0</v>
      </c>
      <c r="F81" s="27">
        <v>600</v>
      </c>
      <c r="G81" s="27">
        <v>0</v>
      </c>
    </row>
    <row r="82" spans="1:7" ht="12.75">
      <c r="A82" s="27">
        <v>687</v>
      </c>
      <c r="B82" s="28" t="s">
        <v>122</v>
      </c>
      <c r="C82" s="27">
        <v>1840</v>
      </c>
      <c r="D82" s="221">
        <v>57</v>
      </c>
      <c r="E82" s="29">
        <v>0</v>
      </c>
      <c r="F82" s="27">
        <v>600</v>
      </c>
      <c r="G82" s="27">
        <v>0</v>
      </c>
    </row>
    <row r="83" spans="1:7" ht="12.75">
      <c r="A83" s="27">
        <v>688</v>
      </c>
      <c r="B83" s="28" t="s">
        <v>123</v>
      </c>
      <c r="C83" s="27">
        <v>1680</v>
      </c>
      <c r="D83" s="221">
        <v>77</v>
      </c>
      <c r="E83" s="29">
        <v>0</v>
      </c>
      <c r="F83" s="27">
        <v>600</v>
      </c>
      <c r="G83" s="27">
        <v>0</v>
      </c>
    </row>
    <row r="84" spans="1:7" ht="12.75">
      <c r="A84" s="27">
        <v>689</v>
      </c>
      <c r="B84" s="30" t="s">
        <v>124</v>
      </c>
      <c r="C84" s="27">
        <v>1170</v>
      </c>
      <c r="D84" s="221">
        <v>144</v>
      </c>
      <c r="E84" s="29">
        <v>0</v>
      </c>
      <c r="F84" s="27">
        <v>580</v>
      </c>
      <c r="G84" s="27">
        <v>0</v>
      </c>
    </row>
    <row r="85" spans="1:7" ht="12.75">
      <c r="A85" s="27">
        <v>691</v>
      </c>
      <c r="B85" s="28" t="s">
        <v>125</v>
      </c>
      <c r="C85" s="27">
        <v>1500</v>
      </c>
      <c r="D85" s="221">
        <v>101</v>
      </c>
      <c r="E85" s="29">
        <v>0</v>
      </c>
      <c r="F85" s="27">
        <v>750</v>
      </c>
      <c r="G85" s="27">
        <v>0</v>
      </c>
    </row>
    <row r="86" spans="1:7" ht="12.75">
      <c r="A86" s="27">
        <v>692</v>
      </c>
      <c r="B86" s="28" t="s">
        <v>126</v>
      </c>
      <c r="C86" s="27">
        <v>1690</v>
      </c>
      <c r="D86" s="221">
        <v>76</v>
      </c>
      <c r="E86" s="29">
        <v>0</v>
      </c>
      <c r="F86" s="27">
        <v>620</v>
      </c>
      <c r="G86" s="27">
        <v>0</v>
      </c>
    </row>
    <row r="87" spans="1:7" ht="12.75">
      <c r="A87" s="27">
        <v>693</v>
      </c>
      <c r="B87" s="28" t="s">
        <v>127</v>
      </c>
      <c r="C87" s="27">
        <v>1550</v>
      </c>
      <c r="D87" s="221">
        <v>94</v>
      </c>
      <c r="E87" s="29">
        <v>0</v>
      </c>
      <c r="F87" s="27">
        <v>620</v>
      </c>
      <c r="G87" s="27">
        <v>0</v>
      </c>
    </row>
    <row r="88" spans="1:7" ht="12.75">
      <c r="A88" s="27">
        <v>694</v>
      </c>
      <c r="B88" s="28" t="s">
        <v>128</v>
      </c>
      <c r="C88" s="27">
        <v>1400</v>
      </c>
      <c r="D88" s="221">
        <v>114</v>
      </c>
      <c r="E88" s="29">
        <v>0</v>
      </c>
      <c r="F88" s="27">
        <v>620</v>
      </c>
      <c r="G88" s="27">
        <v>0</v>
      </c>
    </row>
    <row r="89" spans="1:7" ht="12.75">
      <c r="A89" s="27">
        <v>695</v>
      </c>
      <c r="B89" s="28" t="s">
        <v>129</v>
      </c>
      <c r="C89" s="27">
        <v>906</v>
      </c>
      <c r="D89" s="221">
        <v>178</v>
      </c>
      <c r="E89" s="29">
        <v>0</v>
      </c>
      <c r="F89" s="27">
        <v>0</v>
      </c>
      <c r="G89" s="27">
        <v>0</v>
      </c>
    </row>
    <row r="90" spans="1:7" ht="12.75">
      <c r="A90" s="27">
        <v>696</v>
      </c>
      <c r="B90" s="28" t="s">
        <v>130</v>
      </c>
      <c r="C90" s="27">
        <v>1500</v>
      </c>
      <c r="D90" s="221">
        <v>101</v>
      </c>
      <c r="E90" s="29">
        <v>0</v>
      </c>
      <c r="F90" s="27">
        <v>0</v>
      </c>
      <c r="G90" s="27">
        <v>0</v>
      </c>
    </row>
    <row r="91" spans="1:7" ht="12.75">
      <c r="A91" s="27">
        <v>697</v>
      </c>
      <c r="B91" s="28" t="s">
        <v>131</v>
      </c>
      <c r="C91" s="27">
        <v>1500</v>
      </c>
      <c r="D91" s="221">
        <v>101</v>
      </c>
      <c r="E91" s="29">
        <v>0</v>
      </c>
      <c r="F91" s="27">
        <v>0</v>
      </c>
      <c r="G91" s="27">
        <v>0</v>
      </c>
    </row>
    <row r="92" spans="1:7" ht="12.75">
      <c r="A92" s="27">
        <v>698</v>
      </c>
      <c r="B92" s="28" t="s">
        <v>132</v>
      </c>
      <c r="C92" s="27">
        <v>1690</v>
      </c>
      <c r="D92" s="221">
        <v>76</v>
      </c>
      <c r="E92" s="29">
        <v>0</v>
      </c>
      <c r="F92" s="27">
        <v>0</v>
      </c>
      <c r="G92" s="27">
        <v>0</v>
      </c>
    </row>
    <row r="93" spans="1:7" ht="12.75">
      <c r="A93" s="27">
        <v>699</v>
      </c>
      <c r="B93" s="28" t="s">
        <v>133</v>
      </c>
      <c r="C93" s="27">
        <v>1550</v>
      </c>
      <c r="D93" s="221">
        <v>94</v>
      </c>
      <c r="E93" s="29">
        <v>0</v>
      </c>
      <c r="F93" s="27">
        <v>0</v>
      </c>
      <c r="G93" s="27">
        <v>0</v>
      </c>
    </row>
    <row r="94" spans="1:7" ht="12.75">
      <c r="A94" s="27">
        <v>702</v>
      </c>
      <c r="B94" s="28" t="s">
        <v>134</v>
      </c>
      <c r="C94" s="27">
        <v>971</v>
      </c>
      <c r="D94" s="221">
        <v>170</v>
      </c>
      <c r="E94" s="29">
        <v>0</v>
      </c>
      <c r="F94" s="27">
        <v>0</v>
      </c>
      <c r="G94" s="27">
        <v>0</v>
      </c>
    </row>
    <row r="95" spans="1:7" ht="12.75">
      <c r="A95" s="27">
        <v>703</v>
      </c>
      <c r="B95" s="28" t="s">
        <v>135</v>
      </c>
      <c r="C95" s="27">
        <v>3429</v>
      </c>
      <c r="D95" s="221">
        <v>0</v>
      </c>
      <c r="E95" s="29">
        <v>0</v>
      </c>
      <c r="F95" s="27">
        <v>0</v>
      </c>
      <c r="G95" s="27">
        <v>0</v>
      </c>
    </row>
    <row r="96" spans="1:7" ht="12.75">
      <c r="A96" s="27">
        <v>704</v>
      </c>
      <c r="B96" s="28" t="s">
        <v>136</v>
      </c>
      <c r="C96" s="27">
        <v>1500</v>
      </c>
      <c r="D96" s="221">
        <v>101</v>
      </c>
      <c r="E96" s="29">
        <v>0</v>
      </c>
      <c r="F96" s="27">
        <v>0</v>
      </c>
      <c r="G96" s="27">
        <v>0</v>
      </c>
    </row>
    <row r="97" spans="1:7" ht="12.75">
      <c r="A97" s="27">
        <v>705</v>
      </c>
      <c r="B97" s="28" t="s">
        <v>137</v>
      </c>
      <c r="C97" s="27">
        <v>1592</v>
      </c>
      <c r="D97" s="221">
        <v>89</v>
      </c>
      <c r="E97" s="29">
        <v>0</v>
      </c>
      <c r="F97" s="27">
        <v>0</v>
      </c>
      <c r="G97" s="27">
        <v>0</v>
      </c>
    </row>
    <row r="98" spans="1:7" ht="12.75">
      <c r="A98" s="27">
        <v>706</v>
      </c>
      <c r="B98" s="28" t="s">
        <v>138</v>
      </c>
      <c r="C98" s="27">
        <v>2482</v>
      </c>
      <c r="D98" s="221">
        <v>0</v>
      </c>
      <c r="E98" s="29">
        <v>0</v>
      </c>
      <c r="F98" s="27">
        <v>0</v>
      </c>
      <c r="G98" s="27">
        <v>0</v>
      </c>
    </row>
    <row r="99" spans="1:7" ht="12.75">
      <c r="A99" s="27">
        <v>708</v>
      </c>
      <c r="B99" s="28" t="s">
        <v>139</v>
      </c>
      <c r="C99" s="27">
        <v>3146</v>
      </c>
      <c r="D99" s="221">
        <v>0</v>
      </c>
      <c r="E99" s="29">
        <v>0</v>
      </c>
      <c r="F99" s="27">
        <v>0</v>
      </c>
      <c r="G99" s="27">
        <v>0</v>
      </c>
    </row>
    <row r="100" spans="1:7" ht="12.75">
      <c r="A100" s="27">
        <v>709</v>
      </c>
      <c r="B100" s="28" t="s">
        <v>140</v>
      </c>
      <c r="C100" s="27">
        <v>2913</v>
      </c>
      <c r="D100" s="221">
        <v>0</v>
      </c>
      <c r="E100" s="29">
        <v>0</v>
      </c>
      <c r="F100" s="27">
        <v>0</v>
      </c>
      <c r="G100" s="27">
        <v>0</v>
      </c>
    </row>
    <row r="101" spans="1:7" ht="12.75">
      <c r="A101" s="27">
        <v>710</v>
      </c>
      <c r="B101" s="28" t="s">
        <v>141</v>
      </c>
      <c r="C101" s="27">
        <v>2913</v>
      </c>
      <c r="D101" s="221">
        <v>0</v>
      </c>
      <c r="E101" s="29">
        <v>20</v>
      </c>
      <c r="F101" s="27">
        <v>0</v>
      </c>
      <c r="G101" s="27">
        <v>0</v>
      </c>
    </row>
    <row r="102" spans="1:7" ht="12.75">
      <c r="A102" s="27">
        <v>711</v>
      </c>
      <c r="B102" s="28" t="s">
        <v>142</v>
      </c>
      <c r="C102" s="27">
        <v>2913</v>
      </c>
      <c r="D102" s="221">
        <v>0</v>
      </c>
      <c r="E102" s="29">
        <v>0</v>
      </c>
      <c r="F102" s="27">
        <v>0</v>
      </c>
      <c r="G102" s="27">
        <v>0</v>
      </c>
    </row>
    <row r="103" spans="1:7" ht="12.75">
      <c r="A103" s="27">
        <v>712</v>
      </c>
      <c r="B103" s="28" t="s">
        <v>143</v>
      </c>
      <c r="C103" s="27">
        <v>2913</v>
      </c>
      <c r="D103" s="221">
        <v>0</v>
      </c>
      <c r="E103" s="29">
        <v>0</v>
      </c>
      <c r="F103" s="27">
        <v>0</v>
      </c>
      <c r="G103" s="27">
        <v>0</v>
      </c>
    </row>
    <row r="104" spans="1:7" ht="12.75">
      <c r="A104" s="27">
        <v>713</v>
      </c>
      <c r="B104" s="28" t="s">
        <v>144</v>
      </c>
      <c r="C104" s="27">
        <v>2913</v>
      </c>
      <c r="D104" s="221">
        <v>0</v>
      </c>
      <c r="E104" s="29">
        <v>0</v>
      </c>
      <c r="F104" s="27">
        <v>0</v>
      </c>
      <c r="G104" s="27">
        <v>0</v>
      </c>
    </row>
    <row r="105" spans="1:7" ht="12.75">
      <c r="A105" s="27">
        <v>714</v>
      </c>
      <c r="B105" s="28" t="s">
        <v>145</v>
      </c>
      <c r="C105" s="27">
        <v>2913</v>
      </c>
      <c r="D105" s="221">
        <v>0</v>
      </c>
      <c r="E105" s="29">
        <v>0</v>
      </c>
      <c r="F105" s="27">
        <v>0</v>
      </c>
      <c r="G105" s="27">
        <v>0</v>
      </c>
    </row>
    <row r="106" spans="1:7" ht="12.75">
      <c r="A106" s="27">
        <v>715</v>
      </c>
      <c r="B106" s="28" t="s">
        <v>146</v>
      </c>
      <c r="C106" s="27">
        <v>1912</v>
      </c>
      <c r="D106" s="221">
        <v>47</v>
      </c>
      <c r="E106" s="29">
        <v>0</v>
      </c>
      <c r="F106" s="27">
        <v>42</v>
      </c>
      <c r="G106" s="27">
        <v>0</v>
      </c>
    </row>
    <row r="107" spans="1:7" ht="12.75">
      <c r="A107" s="27">
        <v>716</v>
      </c>
      <c r="B107" s="28" t="s">
        <v>147</v>
      </c>
      <c r="C107" s="27">
        <v>1942</v>
      </c>
      <c r="D107" s="221">
        <v>43</v>
      </c>
      <c r="E107" s="29">
        <v>0</v>
      </c>
      <c r="F107" s="27">
        <v>0</v>
      </c>
      <c r="G107" s="27">
        <v>0</v>
      </c>
    </row>
    <row r="108" spans="1:7" ht="12.75">
      <c r="A108" s="27">
        <v>717</v>
      </c>
      <c r="B108" s="28" t="s">
        <v>148</v>
      </c>
      <c r="C108" s="27">
        <v>2100</v>
      </c>
      <c r="D108" s="221">
        <v>23</v>
      </c>
      <c r="E108" s="29">
        <v>150</v>
      </c>
      <c r="F108" s="27">
        <v>0</v>
      </c>
      <c r="G108" s="27">
        <v>0</v>
      </c>
    </row>
    <row r="109" spans="1:7" ht="12.75">
      <c r="A109" s="27">
        <v>718</v>
      </c>
      <c r="B109" s="28" t="s">
        <v>149</v>
      </c>
      <c r="C109" s="27">
        <v>1942</v>
      </c>
      <c r="D109" s="221">
        <v>43</v>
      </c>
      <c r="E109" s="29">
        <v>17</v>
      </c>
      <c r="F109" s="27">
        <v>0</v>
      </c>
      <c r="G109" s="27">
        <v>0</v>
      </c>
    </row>
    <row r="110" spans="1:7" ht="12.75">
      <c r="A110" s="27">
        <v>719</v>
      </c>
      <c r="B110" s="28" t="s">
        <v>150</v>
      </c>
      <c r="C110" s="27">
        <v>1782</v>
      </c>
      <c r="D110" s="221">
        <v>64</v>
      </c>
      <c r="E110" s="29">
        <v>0</v>
      </c>
      <c r="F110" s="27">
        <v>0</v>
      </c>
      <c r="G110" s="27">
        <v>0</v>
      </c>
    </row>
    <row r="111" spans="1:7" ht="12.75">
      <c r="A111" s="27">
        <v>720</v>
      </c>
      <c r="B111" s="28" t="s">
        <v>151</v>
      </c>
      <c r="C111" s="27">
        <v>1782</v>
      </c>
      <c r="D111" s="221">
        <v>64</v>
      </c>
      <c r="E111" s="29">
        <v>17</v>
      </c>
      <c r="F111" s="27">
        <v>0</v>
      </c>
      <c r="G111" s="27">
        <v>0</v>
      </c>
    </row>
    <row r="112" spans="1:7" ht="12.75">
      <c r="A112" s="27">
        <v>721</v>
      </c>
      <c r="B112" s="28" t="s">
        <v>152</v>
      </c>
      <c r="C112" s="27">
        <v>1942</v>
      </c>
      <c r="D112" s="221">
        <v>43</v>
      </c>
      <c r="E112" s="29">
        <v>150</v>
      </c>
      <c r="F112" s="27">
        <v>0</v>
      </c>
      <c r="G112" s="27">
        <v>0</v>
      </c>
    </row>
    <row r="113" spans="1:7" ht="12.75">
      <c r="A113" s="27">
        <v>722</v>
      </c>
      <c r="B113" s="28" t="s">
        <v>153</v>
      </c>
      <c r="C113" s="27">
        <v>1692</v>
      </c>
      <c r="D113" s="221">
        <v>76</v>
      </c>
      <c r="E113" s="29">
        <v>0</v>
      </c>
      <c r="F113" s="27">
        <v>0</v>
      </c>
      <c r="G113" s="27">
        <v>0</v>
      </c>
    </row>
    <row r="114" spans="1:7" ht="12.75">
      <c r="A114" s="27">
        <v>723</v>
      </c>
      <c r="B114" s="28" t="s">
        <v>154</v>
      </c>
      <c r="C114" s="27">
        <v>1700</v>
      </c>
      <c r="D114" s="221">
        <v>75</v>
      </c>
      <c r="E114" s="29">
        <v>0</v>
      </c>
      <c r="F114" s="27">
        <v>0</v>
      </c>
      <c r="G114" s="27">
        <v>0</v>
      </c>
    </row>
    <row r="115" spans="1:7" ht="12.75">
      <c r="A115" s="27">
        <v>724</v>
      </c>
      <c r="B115" s="28" t="s">
        <v>155</v>
      </c>
      <c r="C115" s="27">
        <v>1942</v>
      </c>
      <c r="D115" s="221">
        <v>43</v>
      </c>
      <c r="E115" s="29">
        <v>150</v>
      </c>
      <c r="F115" s="27">
        <v>0</v>
      </c>
      <c r="G115" s="27">
        <v>0</v>
      </c>
    </row>
    <row r="116" spans="1:7" ht="12.75">
      <c r="A116" s="27">
        <v>725</v>
      </c>
      <c r="B116" s="28" t="s">
        <v>156</v>
      </c>
      <c r="C116" s="27">
        <v>1592</v>
      </c>
      <c r="D116" s="221">
        <v>89</v>
      </c>
      <c r="E116" s="29">
        <v>0</v>
      </c>
      <c r="F116" s="27">
        <v>0</v>
      </c>
      <c r="G116" s="27">
        <v>0</v>
      </c>
    </row>
    <row r="117" spans="1:7" ht="12.75">
      <c r="A117" s="27">
        <v>726</v>
      </c>
      <c r="B117" s="28" t="s">
        <v>157</v>
      </c>
      <c r="C117" s="27">
        <v>1500</v>
      </c>
      <c r="D117" s="221">
        <v>101</v>
      </c>
      <c r="E117" s="29">
        <v>150</v>
      </c>
      <c r="F117" s="27">
        <v>0</v>
      </c>
      <c r="G117" s="27">
        <v>0</v>
      </c>
    </row>
    <row r="118" spans="1:7" ht="12.75">
      <c r="A118" s="31">
        <v>727</v>
      </c>
      <c r="B118" s="32" t="s">
        <v>158</v>
      </c>
      <c r="C118" s="31">
        <v>1600</v>
      </c>
      <c r="D118" s="221">
        <v>88</v>
      </c>
      <c r="E118" s="33">
        <v>0</v>
      </c>
      <c r="F118" s="31">
        <v>0</v>
      </c>
      <c r="G118" s="31">
        <v>0</v>
      </c>
    </row>
    <row r="119" spans="1:7" ht="12.75">
      <c r="A119" s="27">
        <v>728</v>
      </c>
      <c r="B119" s="28" t="s">
        <v>159</v>
      </c>
      <c r="C119" s="27">
        <v>1360</v>
      </c>
      <c r="D119" s="221">
        <v>120</v>
      </c>
      <c r="E119" s="29">
        <v>17</v>
      </c>
      <c r="F119" s="27">
        <v>0</v>
      </c>
      <c r="G119" s="27">
        <v>0</v>
      </c>
    </row>
    <row r="120" spans="1:7" ht="12.75">
      <c r="A120" s="27">
        <v>729</v>
      </c>
      <c r="B120" s="28" t="s">
        <v>160</v>
      </c>
      <c r="C120" s="27">
        <v>1692</v>
      </c>
      <c r="D120" s="221">
        <v>76</v>
      </c>
      <c r="E120" s="29">
        <v>0</v>
      </c>
      <c r="F120" s="27">
        <v>0</v>
      </c>
      <c r="G120" s="27">
        <v>0</v>
      </c>
    </row>
    <row r="121" spans="1:7" ht="12.75">
      <c r="A121" s="27">
        <v>730</v>
      </c>
      <c r="B121" s="28" t="s">
        <v>161</v>
      </c>
      <c r="C121" s="27">
        <v>1700</v>
      </c>
      <c r="D121" s="221">
        <v>75</v>
      </c>
      <c r="E121" s="29">
        <v>0</v>
      </c>
      <c r="F121" s="27">
        <v>0</v>
      </c>
      <c r="G121" s="27">
        <v>0</v>
      </c>
    </row>
    <row r="122" spans="1:7" ht="12.75">
      <c r="A122" s="27">
        <v>731</v>
      </c>
      <c r="B122" s="28" t="s">
        <v>162</v>
      </c>
      <c r="C122" s="27">
        <v>1592</v>
      </c>
      <c r="D122" s="221">
        <v>89</v>
      </c>
      <c r="E122" s="29">
        <v>0</v>
      </c>
      <c r="F122" s="27">
        <v>0</v>
      </c>
      <c r="G122" s="27">
        <v>0</v>
      </c>
    </row>
    <row r="123" spans="1:7" ht="12.75">
      <c r="A123" s="27">
        <v>732</v>
      </c>
      <c r="B123" s="28" t="s">
        <v>163</v>
      </c>
      <c r="C123" s="27">
        <v>971</v>
      </c>
      <c r="D123" s="221">
        <v>170</v>
      </c>
      <c r="E123" s="29">
        <v>150</v>
      </c>
      <c r="F123" s="27">
        <v>0</v>
      </c>
      <c r="G123" s="27">
        <v>0</v>
      </c>
    </row>
    <row r="124" spans="1:7" ht="12.75">
      <c r="A124" s="27">
        <v>733</v>
      </c>
      <c r="B124" s="28" t="s">
        <v>164</v>
      </c>
      <c r="C124" s="27">
        <v>1150</v>
      </c>
      <c r="D124" s="221">
        <v>147</v>
      </c>
      <c r="E124" s="29">
        <v>0</v>
      </c>
      <c r="F124" s="27">
        <v>0</v>
      </c>
      <c r="G124" s="27">
        <v>0</v>
      </c>
    </row>
    <row r="125" spans="1:7" ht="12.75">
      <c r="A125" s="27">
        <v>734</v>
      </c>
      <c r="B125" s="28" t="s">
        <v>165</v>
      </c>
      <c r="C125" s="27">
        <v>1500</v>
      </c>
      <c r="D125" s="221">
        <v>101</v>
      </c>
      <c r="E125" s="29">
        <v>150</v>
      </c>
      <c r="F125" s="27">
        <v>0</v>
      </c>
      <c r="G125" s="27">
        <v>0</v>
      </c>
    </row>
    <row r="126" spans="1:7" ht="12.75">
      <c r="A126" s="27">
        <v>735</v>
      </c>
      <c r="B126" s="28" t="s">
        <v>166</v>
      </c>
      <c r="C126" s="27">
        <v>971</v>
      </c>
      <c r="D126" s="221">
        <v>170</v>
      </c>
      <c r="E126" s="29">
        <v>150</v>
      </c>
      <c r="F126" s="27">
        <v>0</v>
      </c>
      <c r="G126" s="27">
        <v>0</v>
      </c>
    </row>
    <row r="127" spans="1:7" ht="12.75">
      <c r="A127" s="27">
        <v>736</v>
      </c>
      <c r="B127" s="28" t="s">
        <v>167</v>
      </c>
      <c r="C127" s="27">
        <v>1600</v>
      </c>
      <c r="D127" s="221">
        <v>88</v>
      </c>
      <c r="E127" s="29">
        <v>0</v>
      </c>
      <c r="F127" s="27">
        <v>0</v>
      </c>
      <c r="G127" s="27">
        <v>0</v>
      </c>
    </row>
    <row r="128" spans="1:7" ht="12.75">
      <c r="A128" s="27">
        <v>737</v>
      </c>
      <c r="B128" s="28" t="s">
        <v>168</v>
      </c>
      <c r="C128" s="27">
        <v>971</v>
      </c>
      <c r="D128" s="221">
        <v>170</v>
      </c>
      <c r="E128" s="29">
        <v>150</v>
      </c>
      <c r="F128" s="27">
        <v>0</v>
      </c>
      <c r="G128" s="27">
        <v>0</v>
      </c>
    </row>
    <row r="129" spans="1:7" ht="12.75">
      <c r="A129" s="27">
        <v>738</v>
      </c>
      <c r="B129" s="28" t="s">
        <v>169</v>
      </c>
      <c r="C129" s="27">
        <v>971</v>
      </c>
      <c r="D129" s="221">
        <v>170</v>
      </c>
      <c r="E129" s="29">
        <v>17</v>
      </c>
      <c r="F129" s="27">
        <v>0</v>
      </c>
      <c r="G129" s="27">
        <v>0</v>
      </c>
    </row>
    <row r="130" spans="1:7" ht="12.75">
      <c r="A130" s="27">
        <v>739</v>
      </c>
      <c r="B130" s="28" t="s">
        <v>170</v>
      </c>
      <c r="C130" s="27">
        <v>971</v>
      </c>
      <c r="D130" s="221">
        <v>170</v>
      </c>
      <c r="E130" s="29">
        <v>150</v>
      </c>
      <c r="F130" s="27">
        <v>0</v>
      </c>
      <c r="G130" s="27">
        <v>0</v>
      </c>
    </row>
    <row r="131" spans="1:7" ht="12.75">
      <c r="A131" s="27">
        <v>740</v>
      </c>
      <c r="B131" s="28" t="s">
        <v>171</v>
      </c>
      <c r="C131" s="27">
        <v>971</v>
      </c>
      <c r="D131" s="221">
        <v>170</v>
      </c>
      <c r="E131" s="29">
        <v>150</v>
      </c>
      <c r="F131" s="27">
        <v>0</v>
      </c>
      <c r="G131" s="27">
        <v>0</v>
      </c>
    </row>
    <row r="132" spans="1:7" ht="12.75">
      <c r="A132" s="27">
        <v>741</v>
      </c>
      <c r="B132" s="28" t="s">
        <v>172</v>
      </c>
      <c r="C132" s="27">
        <v>1300</v>
      </c>
      <c r="D132" s="221">
        <v>127</v>
      </c>
      <c r="E132" s="29">
        <v>0</v>
      </c>
      <c r="F132" s="27">
        <v>0</v>
      </c>
      <c r="G132" s="27">
        <v>0</v>
      </c>
    </row>
    <row r="133" spans="1:7" ht="12.75">
      <c r="A133" s="27">
        <v>742</v>
      </c>
      <c r="B133" s="28" t="s">
        <v>173</v>
      </c>
      <c r="C133" s="27">
        <v>971</v>
      </c>
      <c r="D133" s="221">
        <v>170</v>
      </c>
      <c r="E133" s="29">
        <v>150</v>
      </c>
      <c r="F133" s="27">
        <v>0</v>
      </c>
      <c r="G133" s="27">
        <v>0</v>
      </c>
    </row>
    <row r="134" spans="1:7" ht="12.75">
      <c r="A134" s="34">
        <v>743</v>
      </c>
      <c r="B134" s="35" t="s">
        <v>174</v>
      </c>
      <c r="C134" s="34">
        <v>971</v>
      </c>
      <c r="D134" s="221">
        <v>170</v>
      </c>
      <c r="E134" s="36">
        <v>17</v>
      </c>
      <c r="F134" s="34">
        <v>0</v>
      </c>
      <c r="G134" s="34">
        <v>0</v>
      </c>
    </row>
    <row r="135" spans="1:7" ht="12.75">
      <c r="A135" s="27">
        <v>744</v>
      </c>
      <c r="B135" s="28" t="s">
        <v>175</v>
      </c>
      <c r="C135" s="27">
        <v>1400</v>
      </c>
      <c r="D135" s="221">
        <v>114</v>
      </c>
      <c r="E135" s="29">
        <v>0</v>
      </c>
      <c r="F135" s="27">
        <v>0</v>
      </c>
      <c r="G135" s="27">
        <v>0</v>
      </c>
    </row>
    <row r="136" spans="1:7" ht="12.75">
      <c r="A136" s="27">
        <v>745</v>
      </c>
      <c r="B136" s="28" t="s">
        <v>176</v>
      </c>
      <c r="C136" s="27">
        <v>1450</v>
      </c>
      <c r="D136" s="221">
        <v>107</v>
      </c>
      <c r="E136" s="29">
        <v>0</v>
      </c>
      <c r="F136" s="27">
        <v>0</v>
      </c>
      <c r="G136" s="27">
        <v>0</v>
      </c>
    </row>
    <row r="137" spans="1:7" ht="12.75">
      <c r="A137" s="27">
        <v>746</v>
      </c>
      <c r="B137" s="28" t="s">
        <v>177</v>
      </c>
      <c r="C137" s="27">
        <v>971</v>
      </c>
      <c r="D137" s="221">
        <v>170</v>
      </c>
      <c r="E137" s="29">
        <v>150</v>
      </c>
      <c r="F137" s="27">
        <v>0</v>
      </c>
      <c r="G137" s="27">
        <v>0</v>
      </c>
    </row>
    <row r="138" spans="1:7" ht="12.75">
      <c r="A138" s="27">
        <v>747</v>
      </c>
      <c r="B138" s="28" t="s">
        <v>178</v>
      </c>
      <c r="C138" s="27">
        <v>971</v>
      </c>
      <c r="D138" s="221">
        <v>170</v>
      </c>
      <c r="E138" s="29">
        <v>0</v>
      </c>
      <c r="F138" s="27">
        <v>0</v>
      </c>
      <c r="G138" s="27">
        <v>0</v>
      </c>
    </row>
    <row r="139" spans="1:7" ht="12.75">
      <c r="A139" s="27">
        <v>748</v>
      </c>
      <c r="B139" s="28" t="s">
        <v>179</v>
      </c>
      <c r="C139" s="27">
        <v>1250</v>
      </c>
      <c r="D139" s="221">
        <v>134</v>
      </c>
      <c r="E139" s="29">
        <v>0</v>
      </c>
      <c r="F139" s="27">
        <v>0</v>
      </c>
      <c r="G139" s="27">
        <v>0</v>
      </c>
    </row>
    <row r="140" spans="1:7" ht="12.75">
      <c r="A140" s="27">
        <v>749</v>
      </c>
      <c r="B140" s="28" t="s">
        <v>73</v>
      </c>
      <c r="C140" s="27">
        <v>971</v>
      </c>
      <c r="D140" s="221">
        <v>170</v>
      </c>
      <c r="E140" s="29">
        <v>0</v>
      </c>
      <c r="F140" s="27">
        <v>0</v>
      </c>
      <c r="G140" s="27">
        <v>0</v>
      </c>
    </row>
    <row r="141" spans="1:7" ht="12.75">
      <c r="A141" s="27">
        <v>750</v>
      </c>
      <c r="B141" s="28" t="s">
        <v>72</v>
      </c>
      <c r="C141" s="27">
        <v>971</v>
      </c>
      <c r="D141" s="221">
        <v>170</v>
      </c>
      <c r="E141" s="29">
        <v>0</v>
      </c>
      <c r="F141" s="27">
        <v>0</v>
      </c>
      <c r="G141" s="27">
        <v>0</v>
      </c>
    </row>
    <row r="142" spans="1:7" ht="12.75">
      <c r="A142" s="27">
        <v>751</v>
      </c>
      <c r="B142" s="28" t="s">
        <v>180</v>
      </c>
      <c r="C142" s="27">
        <v>1500</v>
      </c>
      <c r="D142" s="221">
        <v>101</v>
      </c>
      <c r="E142" s="29">
        <v>150</v>
      </c>
      <c r="F142" s="27">
        <v>0</v>
      </c>
      <c r="G142" s="27">
        <v>0</v>
      </c>
    </row>
    <row r="143" spans="1:7" ht="12.75">
      <c r="A143" s="27">
        <v>752</v>
      </c>
      <c r="B143" s="28" t="s">
        <v>181</v>
      </c>
      <c r="C143" s="27">
        <v>2913</v>
      </c>
      <c r="D143" s="221">
        <v>0</v>
      </c>
      <c r="E143" s="29">
        <v>20</v>
      </c>
      <c r="F143" s="27">
        <v>0</v>
      </c>
      <c r="G143" s="27">
        <v>0</v>
      </c>
    </row>
    <row r="144" spans="1:7" ht="12.75">
      <c r="A144" s="27">
        <v>753</v>
      </c>
      <c r="B144" s="28" t="s">
        <v>182</v>
      </c>
      <c r="C144" s="27">
        <v>1942</v>
      </c>
      <c r="D144" s="221">
        <v>43</v>
      </c>
      <c r="E144" s="29">
        <v>150</v>
      </c>
      <c r="F144" s="27">
        <v>0</v>
      </c>
      <c r="G144" s="27">
        <v>0</v>
      </c>
    </row>
    <row r="145" spans="1:7" ht="12.75">
      <c r="A145" s="27">
        <v>754</v>
      </c>
      <c r="B145" s="28" t="s">
        <v>183</v>
      </c>
      <c r="C145" s="27">
        <v>971</v>
      </c>
      <c r="D145" s="221">
        <v>170</v>
      </c>
      <c r="E145" s="29">
        <v>0</v>
      </c>
      <c r="F145" s="27">
        <v>0</v>
      </c>
      <c r="G145" s="27">
        <v>0</v>
      </c>
    </row>
    <row r="146" spans="1:7" ht="12.75">
      <c r="A146" s="27">
        <v>755</v>
      </c>
      <c r="B146" s="28" t="s">
        <v>184</v>
      </c>
      <c r="C146" s="27">
        <v>971</v>
      </c>
      <c r="D146" s="221">
        <v>170</v>
      </c>
      <c r="E146" s="29">
        <v>0</v>
      </c>
      <c r="F146" s="27">
        <v>0</v>
      </c>
      <c r="G146" s="27">
        <v>0</v>
      </c>
    </row>
    <row r="147" spans="1:7" ht="12.75">
      <c r="A147" s="27">
        <v>756</v>
      </c>
      <c r="B147" s="28" t="s">
        <v>185</v>
      </c>
      <c r="C147" s="27">
        <v>1290</v>
      </c>
      <c r="D147" s="221">
        <v>128</v>
      </c>
      <c r="E147" s="29">
        <v>0</v>
      </c>
      <c r="F147" s="27">
        <v>0</v>
      </c>
      <c r="G147" s="27">
        <v>0</v>
      </c>
    </row>
    <row r="148" spans="1:7" ht="12.75">
      <c r="A148" s="27">
        <v>757</v>
      </c>
      <c r="B148" s="28" t="s">
        <v>186</v>
      </c>
      <c r="C148" s="27">
        <v>971</v>
      </c>
      <c r="D148" s="221">
        <v>170</v>
      </c>
      <c r="E148" s="29">
        <v>0</v>
      </c>
      <c r="F148" s="27">
        <v>0</v>
      </c>
      <c r="G148" s="27">
        <v>0</v>
      </c>
    </row>
    <row r="149" spans="1:7" ht="12.75">
      <c r="A149" s="27">
        <v>758</v>
      </c>
      <c r="B149" s="28" t="s">
        <v>187</v>
      </c>
      <c r="C149" s="27">
        <v>971</v>
      </c>
      <c r="D149" s="221">
        <v>170</v>
      </c>
      <c r="E149" s="29">
        <v>0</v>
      </c>
      <c r="F149" s="27">
        <v>0</v>
      </c>
      <c r="G149" s="27">
        <v>0</v>
      </c>
    </row>
    <row r="150" spans="1:7" ht="12.75">
      <c r="A150" s="27">
        <v>759</v>
      </c>
      <c r="B150" s="28" t="s">
        <v>188</v>
      </c>
      <c r="C150" s="27">
        <v>971</v>
      </c>
      <c r="D150" s="221">
        <v>170</v>
      </c>
      <c r="E150" s="29">
        <v>150</v>
      </c>
      <c r="F150" s="27">
        <v>0</v>
      </c>
      <c r="G150" s="27">
        <v>0</v>
      </c>
    </row>
    <row r="151" spans="1:7" ht="12.75">
      <c r="A151" s="27">
        <v>760</v>
      </c>
      <c r="B151" s="28" t="s">
        <v>189</v>
      </c>
      <c r="C151" s="27">
        <v>1400</v>
      </c>
      <c r="D151" s="221">
        <v>114</v>
      </c>
      <c r="E151" s="29">
        <v>0</v>
      </c>
      <c r="F151" s="27">
        <v>0</v>
      </c>
      <c r="G151" s="27">
        <v>0</v>
      </c>
    </row>
    <row r="152" spans="1:7" ht="12.75">
      <c r="A152" s="27">
        <v>761</v>
      </c>
      <c r="B152" s="28" t="s">
        <v>190</v>
      </c>
      <c r="C152" s="27">
        <v>1700</v>
      </c>
      <c r="D152" s="221">
        <v>75</v>
      </c>
      <c r="E152" s="29">
        <v>150</v>
      </c>
      <c r="F152" s="27">
        <v>0</v>
      </c>
      <c r="G152" s="27">
        <v>0</v>
      </c>
    </row>
    <row r="153" spans="1:7" ht="12.75">
      <c r="A153" s="27">
        <v>762</v>
      </c>
      <c r="B153" s="28" t="s">
        <v>191</v>
      </c>
      <c r="C153" s="27">
        <v>971</v>
      </c>
      <c r="D153" s="221">
        <v>170</v>
      </c>
      <c r="E153" s="29">
        <v>0</v>
      </c>
      <c r="F153" s="27">
        <v>0</v>
      </c>
      <c r="G153" s="27">
        <v>0</v>
      </c>
    </row>
    <row r="154" spans="1:7" ht="12.75">
      <c r="A154" s="27">
        <v>763</v>
      </c>
      <c r="B154" s="28" t="s">
        <v>192</v>
      </c>
      <c r="C154" s="27">
        <v>971</v>
      </c>
      <c r="D154" s="221">
        <v>170</v>
      </c>
      <c r="E154" s="29">
        <v>0</v>
      </c>
      <c r="F154" s="27">
        <v>0</v>
      </c>
      <c r="G154" s="27">
        <v>0</v>
      </c>
    </row>
    <row r="155" spans="1:7" ht="12.75">
      <c r="A155" s="27">
        <v>764</v>
      </c>
      <c r="B155" s="28" t="s">
        <v>193</v>
      </c>
      <c r="C155" s="27">
        <v>1500</v>
      </c>
      <c r="D155" s="221">
        <v>101</v>
      </c>
      <c r="E155" s="29">
        <v>150</v>
      </c>
      <c r="F155" s="27">
        <v>0</v>
      </c>
      <c r="G155" s="27">
        <v>0</v>
      </c>
    </row>
    <row r="156" spans="1:7" ht="12.75">
      <c r="A156" s="27">
        <v>765</v>
      </c>
      <c r="B156" s="28" t="s">
        <v>194</v>
      </c>
      <c r="C156" s="27">
        <v>1500</v>
      </c>
      <c r="D156" s="221">
        <v>101</v>
      </c>
      <c r="E156" s="29">
        <v>150</v>
      </c>
      <c r="F156" s="27">
        <v>0</v>
      </c>
      <c r="G156" s="27">
        <v>0</v>
      </c>
    </row>
    <row r="157" spans="1:7" ht="12.75">
      <c r="A157" s="27">
        <v>766</v>
      </c>
      <c r="B157" s="28" t="s">
        <v>195</v>
      </c>
      <c r="C157" s="27">
        <v>1942</v>
      </c>
      <c r="D157" s="221">
        <v>43</v>
      </c>
      <c r="E157" s="29">
        <v>150</v>
      </c>
      <c r="F157" s="27">
        <v>0</v>
      </c>
      <c r="G157" s="27">
        <v>0</v>
      </c>
    </row>
    <row r="158" spans="1:7" ht="12.75">
      <c r="A158" s="27">
        <v>767</v>
      </c>
      <c r="B158" s="28" t="s">
        <v>196</v>
      </c>
      <c r="C158" s="27">
        <v>1700</v>
      </c>
      <c r="D158" s="221">
        <v>75</v>
      </c>
      <c r="E158" s="29">
        <v>150</v>
      </c>
      <c r="F158" s="27">
        <v>0</v>
      </c>
      <c r="G158" s="27">
        <v>0</v>
      </c>
    </row>
    <row r="159" spans="1:7" ht="12.75">
      <c r="A159" s="27">
        <v>768</v>
      </c>
      <c r="B159" s="28" t="s">
        <v>197</v>
      </c>
      <c r="C159" s="27">
        <v>971</v>
      </c>
      <c r="D159" s="221">
        <v>170</v>
      </c>
      <c r="E159" s="29">
        <v>150</v>
      </c>
      <c r="F159" s="27">
        <v>0</v>
      </c>
      <c r="G159" s="27">
        <v>0</v>
      </c>
    </row>
    <row r="160" spans="1:7" ht="12.75">
      <c r="A160" s="27">
        <v>769</v>
      </c>
      <c r="B160" s="28" t="s">
        <v>198</v>
      </c>
      <c r="C160" s="27">
        <v>2913</v>
      </c>
      <c r="D160" s="221">
        <v>0</v>
      </c>
      <c r="E160" s="29">
        <v>0</v>
      </c>
      <c r="F160" s="27">
        <v>0</v>
      </c>
      <c r="G160" s="27">
        <v>0</v>
      </c>
    </row>
    <row r="161" spans="1:7" ht="12.75">
      <c r="A161" s="27">
        <v>770</v>
      </c>
      <c r="B161" s="28" t="s">
        <v>199</v>
      </c>
      <c r="C161" s="27">
        <v>2913</v>
      </c>
      <c r="D161" s="221">
        <v>0</v>
      </c>
      <c r="E161" s="29">
        <v>0</v>
      </c>
      <c r="F161" s="27">
        <v>0</v>
      </c>
      <c r="G161" s="27">
        <v>0</v>
      </c>
    </row>
    <row r="162" spans="1:7" ht="12.75">
      <c r="A162" s="27">
        <v>771</v>
      </c>
      <c r="B162" s="28" t="s">
        <v>200</v>
      </c>
      <c r="C162" s="27">
        <v>971</v>
      </c>
      <c r="D162" s="221">
        <v>170</v>
      </c>
      <c r="E162" s="29">
        <v>0</v>
      </c>
      <c r="F162" s="27">
        <v>0</v>
      </c>
      <c r="G162" s="27">
        <v>620</v>
      </c>
    </row>
    <row r="163" spans="1:7" ht="12.75">
      <c r="A163" s="27">
        <v>772</v>
      </c>
      <c r="B163" s="28" t="s">
        <v>201</v>
      </c>
      <c r="C163" s="27">
        <v>971</v>
      </c>
      <c r="D163" s="221">
        <v>170</v>
      </c>
      <c r="E163" s="29">
        <v>0</v>
      </c>
      <c r="F163" s="27">
        <v>0</v>
      </c>
      <c r="G163" s="27">
        <v>620</v>
      </c>
    </row>
    <row r="164" spans="1:7" ht="12.75">
      <c r="A164" s="27">
        <v>773</v>
      </c>
      <c r="B164" s="28" t="s">
        <v>202</v>
      </c>
      <c r="C164" s="27">
        <v>1942</v>
      </c>
      <c r="D164" s="221">
        <v>43</v>
      </c>
      <c r="E164" s="29">
        <v>0</v>
      </c>
      <c r="F164" s="27">
        <v>0</v>
      </c>
      <c r="G164" s="27">
        <v>669</v>
      </c>
    </row>
    <row r="165" spans="1:7" ht="12.75">
      <c r="A165" s="27">
        <v>774</v>
      </c>
      <c r="B165" s="28" t="s">
        <v>203</v>
      </c>
      <c r="C165" s="27">
        <v>1700</v>
      </c>
      <c r="D165" s="221">
        <v>75</v>
      </c>
      <c r="E165" s="29">
        <v>0</v>
      </c>
      <c r="F165" s="27">
        <v>0</v>
      </c>
      <c r="G165" s="27">
        <v>657</v>
      </c>
    </row>
    <row r="166" spans="1:7" ht="12.75">
      <c r="A166" s="27">
        <v>775</v>
      </c>
      <c r="B166" s="28" t="s">
        <v>204</v>
      </c>
      <c r="C166" s="27">
        <v>1400</v>
      </c>
      <c r="D166" s="221">
        <v>114</v>
      </c>
      <c r="E166" s="29">
        <v>150</v>
      </c>
      <c r="F166" s="27">
        <v>0</v>
      </c>
      <c r="G166" s="27">
        <v>0</v>
      </c>
    </row>
    <row r="167" spans="1:7" ht="12.75">
      <c r="A167" s="27">
        <v>776</v>
      </c>
      <c r="B167" s="28" t="s">
        <v>205</v>
      </c>
      <c r="C167" s="27">
        <v>971</v>
      </c>
      <c r="D167" s="221">
        <v>170</v>
      </c>
      <c r="E167" s="29">
        <v>0</v>
      </c>
      <c r="F167" s="27">
        <v>0</v>
      </c>
      <c r="G167" s="27">
        <v>0</v>
      </c>
    </row>
    <row r="168" spans="1:7" ht="12.75">
      <c r="A168" s="27">
        <v>777</v>
      </c>
      <c r="B168" s="28" t="s">
        <v>206</v>
      </c>
      <c r="C168" s="27">
        <v>971</v>
      </c>
      <c r="D168" s="221">
        <v>170</v>
      </c>
      <c r="E168" s="29">
        <v>0</v>
      </c>
      <c r="F168" s="27">
        <v>0</v>
      </c>
      <c r="G168" s="27">
        <v>155</v>
      </c>
    </row>
    <row r="169" spans="1:7" ht="12.75">
      <c r="A169" s="27">
        <v>778</v>
      </c>
      <c r="B169" s="28" t="s">
        <v>207</v>
      </c>
      <c r="C169" s="27">
        <v>1692</v>
      </c>
      <c r="D169" s="221">
        <v>76</v>
      </c>
      <c r="E169" s="29">
        <v>17</v>
      </c>
      <c r="F169" s="27">
        <v>0</v>
      </c>
      <c r="G169" s="27">
        <v>0</v>
      </c>
    </row>
    <row r="170" spans="1:7" ht="12.75">
      <c r="A170" s="27">
        <v>779</v>
      </c>
      <c r="B170" s="30" t="s">
        <v>208</v>
      </c>
      <c r="C170" s="27">
        <v>853</v>
      </c>
      <c r="D170" s="221">
        <v>170</v>
      </c>
      <c r="E170" s="29">
        <v>0</v>
      </c>
      <c r="F170" s="27">
        <v>0</v>
      </c>
      <c r="G170" s="27">
        <v>0</v>
      </c>
    </row>
    <row r="171" spans="1:7" ht="12.75">
      <c r="A171" s="27">
        <v>780</v>
      </c>
      <c r="B171" s="28" t="s">
        <v>209</v>
      </c>
      <c r="C171" s="27">
        <v>3146</v>
      </c>
      <c r="D171" s="221">
        <v>0</v>
      </c>
      <c r="E171" s="29">
        <v>0</v>
      </c>
      <c r="F171" s="27">
        <v>0</v>
      </c>
      <c r="G171" s="27">
        <v>0</v>
      </c>
    </row>
    <row r="172" spans="1:7" ht="12.75">
      <c r="A172" s="27">
        <v>781</v>
      </c>
      <c r="B172" s="28" t="s">
        <v>210</v>
      </c>
      <c r="C172" s="27">
        <v>2288</v>
      </c>
      <c r="D172" s="221">
        <v>0</v>
      </c>
      <c r="E172" s="29">
        <v>0</v>
      </c>
      <c r="F172" s="27">
        <v>0</v>
      </c>
      <c r="G172" s="27">
        <v>0</v>
      </c>
    </row>
    <row r="173" spans="1:7" ht="12.75">
      <c r="A173" s="27">
        <v>783</v>
      </c>
      <c r="B173" s="28" t="s">
        <v>211</v>
      </c>
      <c r="C173" s="27">
        <v>971</v>
      </c>
      <c r="D173" s="221">
        <v>170</v>
      </c>
      <c r="E173" s="29">
        <v>0</v>
      </c>
      <c r="F173" s="27">
        <v>0</v>
      </c>
      <c r="G173" s="27">
        <v>0</v>
      </c>
    </row>
    <row r="174" spans="1:7" ht="12.75">
      <c r="A174" s="27">
        <v>784</v>
      </c>
      <c r="B174" s="28" t="s">
        <v>212</v>
      </c>
      <c r="C174" s="27">
        <v>2490</v>
      </c>
      <c r="D174" s="221">
        <v>0</v>
      </c>
      <c r="E174" s="29">
        <v>0</v>
      </c>
      <c r="F174" s="27">
        <v>0</v>
      </c>
      <c r="G174" s="27">
        <v>0</v>
      </c>
    </row>
    <row r="175" spans="1:7" ht="12.75">
      <c r="A175" s="27">
        <v>788</v>
      </c>
      <c r="B175" s="28" t="s">
        <v>213</v>
      </c>
      <c r="C175" s="27">
        <v>2000</v>
      </c>
      <c r="D175" s="221">
        <v>36</v>
      </c>
      <c r="E175" s="29">
        <v>0</v>
      </c>
      <c r="F175" s="27">
        <v>0</v>
      </c>
      <c r="G175" s="27">
        <v>0</v>
      </c>
    </row>
    <row r="176" spans="1:7" ht="12.75">
      <c r="A176" s="27">
        <v>789</v>
      </c>
      <c r="B176" s="28" t="s">
        <v>214</v>
      </c>
      <c r="C176" s="27">
        <v>971</v>
      </c>
      <c r="D176" s="221">
        <v>170</v>
      </c>
      <c r="E176" s="29">
        <v>0</v>
      </c>
      <c r="F176" s="27">
        <v>0</v>
      </c>
      <c r="G176" s="27">
        <v>0</v>
      </c>
    </row>
    <row r="177" spans="1:7" ht="12.75">
      <c r="A177" s="27">
        <v>791</v>
      </c>
      <c r="B177" s="28" t="s">
        <v>215</v>
      </c>
      <c r="C177" s="27">
        <v>2913</v>
      </c>
      <c r="D177" s="221">
        <v>0</v>
      </c>
      <c r="E177" s="29">
        <v>17</v>
      </c>
      <c r="F177" s="27">
        <v>0</v>
      </c>
      <c r="G177" s="27">
        <v>0</v>
      </c>
    </row>
    <row r="178" spans="1:7" ht="12.75">
      <c r="A178" s="27">
        <v>792</v>
      </c>
      <c r="B178" s="28" t="s">
        <v>216</v>
      </c>
      <c r="C178" s="27">
        <v>2913</v>
      </c>
      <c r="D178" s="221">
        <v>0</v>
      </c>
      <c r="E178" s="29">
        <v>0</v>
      </c>
      <c r="F178" s="27">
        <v>0</v>
      </c>
      <c r="G178" s="27">
        <v>0</v>
      </c>
    </row>
    <row r="179" spans="1:7" ht="12.75">
      <c r="A179" s="27">
        <v>793</v>
      </c>
      <c r="B179" s="28" t="s">
        <v>217</v>
      </c>
      <c r="C179" s="27">
        <v>2913</v>
      </c>
      <c r="D179" s="221">
        <v>0</v>
      </c>
      <c r="E179" s="29">
        <v>0</v>
      </c>
      <c r="F179" s="27">
        <v>0</v>
      </c>
      <c r="G179" s="27">
        <v>0</v>
      </c>
    </row>
    <row r="180" spans="1:7" ht="12.75">
      <c r="A180" s="27">
        <v>794</v>
      </c>
      <c r="B180" s="28" t="s">
        <v>218</v>
      </c>
      <c r="C180" s="27">
        <v>1840</v>
      </c>
      <c r="D180" s="221">
        <v>57</v>
      </c>
      <c r="E180" s="29">
        <v>0</v>
      </c>
      <c r="F180" s="27">
        <v>0</v>
      </c>
      <c r="G180" s="27">
        <v>0</v>
      </c>
    </row>
    <row r="181" spans="1:7" ht="12.75">
      <c r="A181" s="27">
        <v>795</v>
      </c>
      <c r="B181" s="28" t="s">
        <v>219</v>
      </c>
      <c r="C181" s="27">
        <v>1450</v>
      </c>
      <c r="D181" s="221">
        <v>107</v>
      </c>
      <c r="E181" s="29">
        <v>0</v>
      </c>
      <c r="F181" s="27">
        <v>0</v>
      </c>
      <c r="G181" s="27">
        <v>0</v>
      </c>
    </row>
    <row r="182" spans="1:7" ht="12.75">
      <c r="A182" s="27">
        <v>796</v>
      </c>
      <c r="B182" s="28" t="s">
        <v>220</v>
      </c>
      <c r="C182" s="27">
        <v>1340</v>
      </c>
      <c r="D182" s="221">
        <v>122</v>
      </c>
      <c r="E182" s="29">
        <v>0</v>
      </c>
      <c r="F182" s="27">
        <v>0</v>
      </c>
      <c r="G182" s="27">
        <v>0</v>
      </c>
    </row>
    <row r="183" spans="1:7" ht="12.75">
      <c r="A183" s="27">
        <v>797</v>
      </c>
      <c r="B183" s="28" t="s">
        <v>221</v>
      </c>
      <c r="C183" s="27">
        <v>1170</v>
      </c>
      <c r="D183" s="221">
        <v>144</v>
      </c>
      <c r="E183" s="29">
        <v>0</v>
      </c>
      <c r="F183" s="27">
        <v>0</v>
      </c>
      <c r="G183" s="27">
        <v>0</v>
      </c>
    </row>
    <row r="184" spans="1:7" ht="12.75">
      <c r="A184" s="27">
        <v>798</v>
      </c>
      <c r="B184" s="28" t="s">
        <v>222</v>
      </c>
      <c r="C184" s="27">
        <v>961</v>
      </c>
      <c r="D184" s="221">
        <v>171</v>
      </c>
      <c r="E184" s="29">
        <v>0</v>
      </c>
      <c r="F184" s="27">
        <v>0</v>
      </c>
      <c r="G184" s="27">
        <v>0</v>
      </c>
    </row>
    <row r="185" spans="1:7" ht="12.75">
      <c r="A185" s="27">
        <v>808</v>
      </c>
      <c r="B185" s="28" t="s">
        <v>223</v>
      </c>
      <c r="C185" s="27">
        <v>1942</v>
      </c>
      <c r="D185" s="221">
        <v>43</v>
      </c>
      <c r="E185" s="29">
        <v>0</v>
      </c>
      <c r="F185" s="27">
        <v>0</v>
      </c>
      <c r="G185" s="27">
        <v>669</v>
      </c>
    </row>
    <row r="186" spans="1:7" ht="12.75">
      <c r="A186" s="27">
        <v>809</v>
      </c>
      <c r="B186" s="28" t="s">
        <v>224</v>
      </c>
      <c r="C186" s="27">
        <v>1782</v>
      </c>
      <c r="D186" s="221">
        <v>64</v>
      </c>
      <c r="E186" s="29">
        <v>0</v>
      </c>
      <c r="F186" s="27">
        <v>0</v>
      </c>
      <c r="G186" s="27">
        <v>669</v>
      </c>
    </row>
    <row r="187" spans="1:7" ht="12.75">
      <c r="A187" s="27">
        <v>810</v>
      </c>
      <c r="B187" s="28" t="s">
        <v>225</v>
      </c>
      <c r="C187" s="27">
        <v>1692</v>
      </c>
      <c r="D187" s="221">
        <v>76</v>
      </c>
      <c r="E187" s="29">
        <v>0</v>
      </c>
      <c r="F187" s="27">
        <v>0</v>
      </c>
      <c r="G187" s="27">
        <v>663</v>
      </c>
    </row>
    <row r="188" spans="1:7" ht="12.75">
      <c r="A188" s="27">
        <v>811</v>
      </c>
      <c r="B188" s="28" t="s">
        <v>226</v>
      </c>
      <c r="C188" s="27">
        <v>1592</v>
      </c>
      <c r="D188" s="221">
        <v>89</v>
      </c>
      <c r="E188" s="29">
        <v>0</v>
      </c>
      <c r="F188" s="27">
        <v>0</v>
      </c>
      <c r="G188" s="27">
        <v>657</v>
      </c>
    </row>
    <row r="189" spans="1:7" ht="12.75">
      <c r="A189" s="27">
        <v>812</v>
      </c>
      <c r="B189" s="28" t="s">
        <v>227</v>
      </c>
      <c r="C189" s="27">
        <v>1600</v>
      </c>
      <c r="D189" s="221">
        <v>88</v>
      </c>
      <c r="E189" s="29">
        <v>0</v>
      </c>
      <c r="F189" s="27">
        <v>0</v>
      </c>
      <c r="G189" s="27">
        <v>657</v>
      </c>
    </row>
    <row r="190" spans="1:7" ht="12.75">
      <c r="A190" s="27">
        <v>813</v>
      </c>
      <c r="B190" s="28" t="s">
        <v>228</v>
      </c>
      <c r="C190" s="27">
        <v>971</v>
      </c>
      <c r="D190" s="221">
        <v>170</v>
      </c>
      <c r="E190" s="29">
        <v>0</v>
      </c>
      <c r="F190" s="27">
        <v>0</v>
      </c>
      <c r="G190" s="27">
        <v>620</v>
      </c>
    </row>
    <row r="191" spans="1:7" ht="12.75">
      <c r="A191" s="27">
        <v>814</v>
      </c>
      <c r="B191" s="28" t="s">
        <v>229</v>
      </c>
      <c r="C191" s="27">
        <v>971</v>
      </c>
      <c r="D191" s="221">
        <v>170</v>
      </c>
      <c r="E191" s="29">
        <v>0</v>
      </c>
      <c r="F191" s="27">
        <v>0</v>
      </c>
      <c r="G191" s="27">
        <v>155</v>
      </c>
    </row>
    <row r="192" spans="1:7" ht="12.75">
      <c r="A192" s="27">
        <v>815</v>
      </c>
      <c r="B192" s="28" t="s">
        <v>230</v>
      </c>
      <c r="C192" s="27">
        <v>971</v>
      </c>
      <c r="D192" s="221">
        <v>170</v>
      </c>
      <c r="E192" s="29">
        <v>17</v>
      </c>
      <c r="F192" s="27">
        <v>0</v>
      </c>
      <c r="G192" s="27">
        <v>0</v>
      </c>
    </row>
    <row r="193" spans="1:7" ht="12.75">
      <c r="A193" s="27">
        <v>816</v>
      </c>
      <c r="B193" s="28" t="s">
        <v>231</v>
      </c>
      <c r="C193" s="27">
        <v>1600</v>
      </c>
      <c r="D193" s="221">
        <v>88</v>
      </c>
      <c r="E193" s="29">
        <v>17</v>
      </c>
      <c r="F193" s="27">
        <v>0</v>
      </c>
      <c r="G193" s="27">
        <v>0</v>
      </c>
    </row>
    <row r="194" spans="1:7" ht="12.75">
      <c r="A194" s="27">
        <v>817</v>
      </c>
      <c r="B194" s="28" t="s">
        <v>232</v>
      </c>
      <c r="C194" s="27">
        <v>1782</v>
      </c>
      <c r="D194" s="221">
        <v>64</v>
      </c>
      <c r="E194" s="29">
        <v>0</v>
      </c>
      <c r="F194" s="27">
        <v>0</v>
      </c>
      <c r="G194" s="27">
        <v>839</v>
      </c>
    </row>
    <row r="195" spans="1:7" ht="12.75">
      <c r="A195" s="27">
        <v>818</v>
      </c>
      <c r="B195" s="28" t="s">
        <v>233</v>
      </c>
      <c r="C195" s="27">
        <v>971</v>
      </c>
      <c r="D195" s="221">
        <v>170</v>
      </c>
      <c r="E195" s="29">
        <v>0</v>
      </c>
      <c r="F195" s="27">
        <v>0</v>
      </c>
      <c r="G195" s="27">
        <v>659</v>
      </c>
    </row>
    <row r="196" spans="1:7" ht="12.75">
      <c r="A196" s="27">
        <v>819</v>
      </c>
      <c r="B196" s="28" t="s">
        <v>234</v>
      </c>
      <c r="C196" s="27">
        <v>971</v>
      </c>
      <c r="D196" s="221">
        <v>170</v>
      </c>
      <c r="E196" s="29">
        <v>0</v>
      </c>
      <c r="F196" s="27">
        <v>0</v>
      </c>
      <c r="G196" s="27">
        <v>155</v>
      </c>
    </row>
    <row r="197" spans="1:7" ht="12.75">
      <c r="A197" s="27">
        <v>820</v>
      </c>
      <c r="B197" s="28" t="s">
        <v>235</v>
      </c>
      <c r="C197" s="27">
        <v>1692</v>
      </c>
      <c r="D197" s="221">
        <v>76</v>
      </c>
      <c r="E197" s="29">
        <v>0</v>
      </c>
      <c r="F197" s="27">
        <v>0</v>
      </c>
      <c r="G197" s="27">
        <v>839</v>
      </c>
    </row>
    <row r="198" spans="1:7" ht="12.75">
      <c r="A198" s="27">
        <v>821</v>
      </c>
      <c r="B198" s="28" t="s">
        <v>236</v>
      </c>
      <c r="C198" s="27">
        <v>1592</v>
      </c>
      <c r="D198" s="221">
        <v>89</v>
      </c>
      <c r="E198" s="29">
        <v>0</v>
      </c>
      <c r="F198" s="27">
        <v>0</v>
      </c>
      <c r="G198" s="27">
        <v>839</v>
      </c>
    </row>
    <row r="199" spans="1:7" ht="12.75">
      <c r="A199" s="27">
        <v>822</v>
      </c>
      <c r="B199" s="28" t="s">
        <v>237</v>
      </c>
      <c r="C199" s="27">
        <v>971</v>
      </c>
      <c r="D199" s="221">
        <v>170</v>
      </c>
      <c r="E199" s="29">
        <v>0</v>
      </c>
      <c r="F199" s="27">
        <v>0</v>
      </c>
      <c r="G199" s="27">
        <v>155</v>
      </c>
    </row>
    <row r="200" spans="1:7" ht="12.75">
      <c r="A200" s="27">
        <v>823</v>
      </c>
      <c r="B200" s="28" t="s">
        <v>238</v>
      </c>
      <c r="C200" s="27">
        <v>1700</v>
      </c>
      <c r="D200" s="221">
        <v>75</v>
      </c>
      <c r="E200" s="29">
        <v>0</v>
      </c>
      <c r="F200" s="27">
        <v>0</v>
      </c>
      <c r="G200" s="27">
        <v>657</v>
      </c>
    </row>
    <row r="201" spans="1:7" ht="12.75">
      <c r="A201" s="27">
        <v>824</v>
      </c>
      <c r="B201" s="28" t="s">
        <v>239</v>
      </c>
      <c r="C201" s="27">
        <v>1400</v>
      </c>
      <c r="D201" s="221">
        <v>114</v>
      </c>
      <c r="E201" s="29">
        <v>0</v>
      </c>
      <c r="F201" s="27">
        <v>0</v>
      </c>
      <c r="G201" s="27">
        <v>657</v>
      </c>
    </row>
    <row r="202" spans="1:7" ht="12.75">
      <c r="A202" s="27">
        <v>825</v>
      </c>
      <c r="B202" s="28" t="s">
        <v>240</v>
      </c>
      <c r="C202" s="27">
        <v>1300</v>
      </c>
      <c r="D202" s="221">
        <v>127</v>
      </c>
      <c r="E202" s="29">
        <v>0</v>
      </c>
      <c r="F202" s="27">
        <v>0</v>
      </c>
      <c r="G202" s="27">
        <v>657</v>
      </c>
    </row>
    <row r="203" spans="1:7" ht="12.75">
      <c r="A203" s="27">
        <v>826</v>
      </c>
      <c r="B203" s="28" t="s">
        <v>241</v>
      </c>
      <c r="C203" s="27">
        <v>1250</v>
      </c>
      <c r="D203" s="221">
        <v>134</v>
      </c>
      <c r="E203" s="29">
        <v>0</v>
      </c>
      <c r="F203" s="27">
        <v>0</v>
      </c>
      <c r="G203" s="27">
        <v>657</v>
      </c>
    </row>
    <row r="204" spans="1:7" ht="12.75">
      <c r="A204" s="27">
        <v>827</v>
      </c>
      <c r="B204" s="28" t="s">
        <v>242</v>
      </c>
      <c r="C204" s="27">
        <v>3146</v>
      </c>
      <c r="D204" s="221">
        <v>0</v>
      </c>
      <c r="E204" s="29">
        <v>0</v>
      </c>
      <c r="F204" s="27">
        <v>0</v>
      </c>
      <c r="G204" s="27">
        <v>0</v>
      </c>
    </row>
    <row r="205" spans="1:7" ht="12.75">
      <c r="A205" s="27">
        <v>828</v>
      </c>
      <c r="B205" s="28" t="s">
        <v>243</v>
      </c>
      <c r="C205" s="27">
        <v>2913</v>
      </c>
      <c r="D205" s="221">
        <v>0</v>
      </c>
      <c r="E205" s="29">
        <v>0</v>
      </c>
      <c r="F205" s="27">
        <v>0</v>
      </c>
      <c r="G205" s="27">
        <v>0</v>
      </c>
    </row>
    <row r="206" spans="1:7" ht="12.75">
      <c r="A206" s="27">
        <v>829</v>
      </c>
      <c r="B206" s="28" t="s">
        <v>244</v>
      </c>
      <c r="C206" s="27">
        <v>1942</v>
      </c>
      <c r="D206" s="221">
        <v>43</v>
      </c>
      <c r="E206" s="29">
        <v>0</v>
      </c>
      <c r="F206" s="27">
        <v>0</v>
      </c>
      <c r="G206" s="27">
        <v>0</v>
      </c>
    </row>
    <row r="207" spans="1:7" ht="12.75">
      <c r="A207" s="27">
        <v>830</v>
      </c>
      <c r="B207" s="28" t="s">
        <v>245</v>
      </c>
      <c r="C207" s="27">
        <v>1740</v>
      </c>
      <c r="D207" s="221">
        <v>70</v>
      </c>
      <c r="E207" s="29">
        <v>0</v>
      </c>
      <c r="F207" s="27">
        <v>0</v>
      </c>
      <c r="G207" s="27">
        <v>0</v>
      </c>
    </row>
    <row r="208" spans="1:7" ht="12.75">
      <c r="A208" s="27">
        <v>831</v>
      </c>
      <c r="B208" s="28" t="s">
        <v>246</v>
      </c>
      <c r="C208" s="27">
        <v>971</v>
      </c>
      <c r="D208" s="221">
        <v>170</v>
      </c>
      <c r="E208" s="29">
        <v>0</v>
      </c>
      <c r="F208" s="27">
        <v>0</v>
      </c>
      <c r="G208" s="27">
        <v>0</v>
      </c>
    </row>
    <row r="209" spans="1:7" ht="12.75">
      <c r="A209" s="27">
        <v>832</v>
      </c>
      <c r="B209" s="28" t="s">
        <v>247</v>
      </c>
      <c r="C209" s="27">
        <v>2913</v>
      </c>
      <c r="D209" s="221">
        <v>0</v>
      </c>
      <c r="E209" s="29">
        <v>0</v>
      </c>
      <c r="F209" s="27">
        <v>0</v>
      </c>
      <c r="G209" s="27">
        <v>0</v>
      </c>
    </row>
    <row r="210" spans="1:7" ht="12.75">
      <c r="A210" s="27">
        <v>833</v>
      </c>
      <c r="B210" s="28" t="s">
        <v>248</v>
      </c>
      <c r="C210" s="27">
        <v>971</v>
      </c>
      <c r="D210" s="221">
        <v>170</v>
      </c>
      <c r="E210" s="29">
        <v>0</v>
      </c>
      <c r="F210" s="27">
        <v>0</v>
      </c>
      <c r="G210" s="27">
        <v>155</v>
      </c>
    </row>
    <row r="211" spans="1:7" ht="12.75">
      <c r="A211" s="27">
        <v>834</v>
      </c>
      <c r="B211" s="28" t="s">
        <v>249</v>
      </c>
      <c r="C211" s="27">
        <v>971</v>
      </c>
      <c r="D211" s="221">
        <v>170</v>
      </c>
      <c r="E211" s="29">
        <v>0</v>
      </c>
      <c r="F211" s="27">
        <v>0</v>
      </c>
      <c r="G211" s="27">
        <v>155</v>
      </c>
    </row>
    <row r="212" spans="1:7" ht="12.75">
      <c r="A212" s="27">
        <v>835</v>
      </c>
      <c r="B212" s="28" t="s">
        <v>250</v>
      </c>
      <c r="C212" s="27">
        <v>971</v>
      </c>
      <c r="D212" s="221">
        <v>170</v>
      </c>
      <c r="E212" s="29">
        <v>0</v>
      </c>
      <c r="F212" s="27">
        <v>0</v>
      </c>
      <c r="G212" s="27">
        <v>0</v>
      </c>
    </row>
    <row r="213" spans="1:7" ht="12.75">
      <c r="A213" s="27">
        <v>836</v>
      </c>
      <c r="B213" s="28" t="s">
        <v>251</v>
      </c>
      <c r="C213" s="27">
        <v>971</v>
      </c>
      <c r="D213" s="221">
        <v>170</v>
      </c>
      <c r="E213" s="29">
        <v>0</v>
      </c>
      <c r="F213" s="27">
        <v>0</v>
      </c>
      <c r="G213" s="27">
        <v>155</v>
      </c>
    </row>
    <row r="214" spans="1:7" ht="12.75">
      <c r="A214" s="27">
        <v>837</v>
      </c>
      <c r="B214" s="28" t="s">
        <v>252</v>
      </c>
      <c r="C214" s="27">
        <v>971</v>
      </c>
      <c r="D214" s="221">
        <v>170</v>
      </c>
      <c r="E214" s="29">
        <v>0</v>
      </c>
      <c r="F214" s="27">
        <v>0</v>
      </c>
      <c r="G214" s="27">
        <v>155</v>
      </c>
    </row>
    <row r="215" spans="1:7" ht="12.75">
      <c r="A215" s="27">
        <v>839</v>
      </c>
      <c r="B215" s="28" t="s">
        <v>253</v>
      </c>
      <c r="C215" s="27">
        <v>971</v>
      </c>
      <c r="D215" s="221">
        <v>170</v>
      </c>
      <c r="E215" s="29">
        <v>0</v>
      </c>
      <c r="F215" s="27">
        <v>0</v>
      </c>
      <c r="G215" s="27">
        <v>155</v>
      </c>
    </row>
    <row r="216" spans="1:7" ht="12.75">
      <c r="A216" s="27">
        <v>840</v>
      </c>
      <c r="B216" s="28" t="s">
        <v>254</v>
      </c>
      <c r="C216" s="27">
        <v>971</v>
      </c>
      <c r="D216" s="221">
        <v>170</v>
      </c>
      <c r="E216" s="29">
        <v>0</v>
      </c>
      <c r="F216" s="27">
        <v>0</v>
      </c>
      <c r="G216" s="27">
        <v>155</v>
      </c>
    </row>
    <row r="217" spans="1:7" ht="12.75">
      <c r="A217" s="27">
        <v>842</v>
      </c>
      <c r="B217" s="28" t="s">
        <v>255</v>
      </c>
      <c r="C217" s="27">
        <v>1500</v>
      </c>
      <c r="D217" s="221">
        <v>101</v>
      </c>
      <c r="E217" s="29">
        <v>0</v>
      </c>
      <c r="F217" s="27">
        <v>0</v>
      </c>
      <c r="G217" s="27">
        <v>0</v>
      </c>
    </row>
    <row r="218" spans="1:7" ht="12.75">
      <c r="A218" s="27">
        <v>843</v>
      </c>
      <c r="B218" s="28" t="s">
        <v>256</v>
      </c>
      <c r="C218" s="27">
        <v>1250</v>
      </c>
      <c r="D218" s="221">
        <v>134</v>
      </c>
      <c r="E218" s="29">
        <v>0</v>
      </c>
      <c r="F218" s="27">
        <v>0</v>
      </c>
      <c r="G218" s="27">
        <v>0</v>
      </c>
    </row>
    <row r="219" spans="1:7" ht="12.75">
      <c r="A219" s="27">
        <v>844</v>
      </c>
      <c r="B219" s="28" t="s">
        <v>257</v>
      </c>
      <c r="C219" s="27">
        <v>1660</v>
      </c>
      <c r="D219" s="221">
        <v>80</v>
      </c>
      <c r="E219" s="29">
        <v>0</v>
      </c>
      <c r="F219" s="27">
        <v>0</v>
      </c>
      <c r="G219" s="27">
        <v>0</v>
      </c>
    </row>
    <row r="220" spans="1:7" ht="12.75">
      <c r="A220" s="27">
        <v>849</v>
      </c>
      <c r="B220" s="28" t="s">
        <v>258</v>
      </c>
      <c r="C220" s="27">
        <v>971</v>
      </c>
      <c r="D220" s="221">
        <v>170</v>
      </c>
      <c r="E220" s="29">
        <v>0</v>
      </c>
      <c r="F220" s="27">
        <v>0</v>
      </c>
      <c r="G220" s="27">
        <v>0</v>
      </c>
    </row>
    <row r="221" spans="1:7" ht="12.75">
      <c r="A221" s="27">
        <v>900</v>
      </c>
      <c r="B221" s="28" t="s">
        <v>259</v>
      </c>
      <c r="C221" s="27">
        <v>3146</v>
      </c>
      <c r="D221" s="221">
        <v>0</v>
      </c>
      <c r="E221" s="29">
        <v>0</v>
      </c>
      <c r="F221" s="27">
        <v>0</v>
      </c>
      <c r="G221" s="27">
        <v>0</v>
      </c>
    </row>
    <row r="222" spans="1:7" ht="12.75">
      <c r="A222" s="27">
        <v>901</v>
      </c>
      <c r="B222" s="28" t="s">
        <v>260</v>
      </c>
      <c r="C222" s="27">
        <v>2913</v>
      </c>
      <c r="D222" s="221">
        <v>0</v>
      </c>
      <c r="E222" s="29">
        <v>0</v>
      </c>
      <c r="F222" s="27">
        <v>0</v>
      </c>
      <c r="G222" s="27">
        <v>0</v>
      </c>
    </row>
    <row r="223" spans="1:7" ht="12.75">
      <c r="A223" s="27">
        <v>902</v>
      </c>
      <c r="B223" s="28" t="s">
        <v>261</v>
      </c>
      <c r="C223" s="27">
        <v>2913</v>
      </c>
      <c r="D223" s="221">
        <v>0</v>
      </c>
      <c r="E223" s="29">
        <v>20</v>
      </c>
      <c r="F223" s="27">
        <v>0</v>
      </c>
      <c r="G223" s="27">
        <v>0</v>
      </c>
    </row>
    <row r="224" spans="1:7" ht="12.75">
      <c r="A224" s="27">
        <v>903</v>
      </c>
      <c r="B224" s="28" t="s">
        <v>262</v>
      </c>
      <c r="C224" s="27">
        <v>2913</v>
      </c>
      <c r="D224" s="221">
        <v>0</v>
      </c>
      <c r="E224" s="29">
        <v>0</v>
      </c>
      <c r="F224" s="27">
        <v>0</v>
      </c>
      <c r="G224" s="27">
        <v>0</v>
      </c>
    </row>
    <row r="225" spans="1:7" ht="12.75">
      <c r="A225" s="27">
        <v>904</v>
      </c>
      <c r="B225" s="28" t="s">
        <v>263</v>
      </c>
      <c r="C225" s="27">
        <v>2100</v>
      </c>
      <c r="D225" s="221">
        <v>23</v>
      </c>
      <c r="E225" s="29">
        <v>0</v>
      </c>
      <c r="F225" s="27">
        <v>0</v>
      </c>
      <c r="G225" s="27">
        <v>0</v>
      </c>
    </row>
    <row r="226" spans="1:7" ht="12.75">
      <c r="A226" s="27">
        <v>905</v>
      </c>
      <c r="B226" s="28" t="s">
        <v>264</v>
      </c>
      <c r="C226" s="27">
        <v>1800</v>
      </c>
      <c r="D226" s="221">
        <v>62</v>
      </c>
      <c r="E226" s="29">
        <v>0</v>
      </c>
      <c r="F226" s="27">
        <v>0</v>
      </c>
      <c r="G226" s="27">
        <v>0</v>
      </c>
    </row>
    <row r="227" spans="1:7" ht="12.75">
      <c r="A227" s="27">
        <v>906</v>
      </c>
      <c r="B227" s="28" t="s">
        <v>265</v>
      </c>
      <c r="C227" s="27">
        <v>1942</v>
      </c>
      <c r="D227" s="221">
        <v>43</v>
      </c>
      <c r="E227" s="29">
        <v>0</v>
      </c>
      <c r="F227" s="27">
        <v>0</v>
      </c>
      <c r="G227" s="27">
        <v>0</v>
      </c>
    </row>
    <row r="228" spans="1:7" ht="12.75">
      <c r="A228" s="27">
        <v>907</v>
      </c>
      <c r="B228" s="28" t="s">
        <v>266</v>
      </c>
      <c r="C228" s="27">
        <v>1782</v>
      </c>
      <c r="D228" s="221">
        <v>64</v>
      </c>
      <c r="E228" s="29">
        <v>0</v>
      </c>
      <c r="F228" s="27">
        <v>0</v>
      </c>
      <c r="G228" s="27">
        <v>0</v>
      </c>
    </row>
    <row r="229" spans="1:7" ht="12.75">
      <c r="A229" s="27">
        <v>908</v>
      </c>
      <c r="B229" s="28" t="s">
        <v>267</v>
      </c>
      <c r="C229" s="27">
        <v>1692</v>
      </c>
      <c r="D229" s="221">
        <v>76</v>
      </c>
      <c r="E229" s="29">
        <v>0</v>
      </c>
      <c r="F229" s="27">
        <v>0</v>
      </c>
      <c r="G229" s="27">
        <v>0</v>
      </c>
    </row>
    <row r="230" spans="1:7" ht="12.75">
      <c r="A230" s="27">
        <v>909</v>
      </c>
      <c r="B230" s="28" t="s">
        <v>268</v>
      </c>
      <c r="C230" s="27">
        <v>1592</v>
      </c>
      <c r="D230" s="221">
        <v>89</v>
      </c>
      <c r="E230" s="29">
        <v>0</v>
      </c>
      <c r="F230" s="27">
        <v>0</v>
      </c>
      <c r="G230" s="27">
        <v>0</v>
      </c>
    </row>
    <row r="231" spans="1:7" ht="12.75">
      <c r="A231" s="27">
        <v>910</v>
      </c>
      <c r="B231" s="28" t="s">
        <v>152</v>
      </c>
      <c r="C231" s="27">
        <v>1942</v>
      </c>
      <c r="D231" s="221">
        <v>43</v>
      </c>
      <c r="E231" s="29">
        <v>150</v>
      </c>
      <c r="F231" s="27">
        <v>0</v>
      </c>
      <c r="G231" s="27">
        <v>0</v>
      </c>
    </row>
    <row r="232" spans="1:7" ht="12.75">
      <c r="A232" s="27">
        <v>911</v>
      </c>
      <c r="B232" s="28" t="s">
        <v>162</v>
      </c>
      <c r="C232" s="27">
        <v>1592</v>
      </c>
      <c r="D232" s="221">
        <v>89</v>
      </c>
      <c r="E232" s="29">
        <v>0</v>
      </c>
      <c r="F232" s="27">
        <v>0</v>
      </c>
      <c r="G232" s="27">
        <v>0</v>
      </c>
    </row>
    <row r="233" spans="1:7" ht="12.75">
      <c r="A233" s="27">
        <v>912</v>
      </c>
      <c r="B233" s="28" t="s">
        <v>269</v>
      </c>
      <c r="C233" s="27">
        <v>1782</v>
      </c>
      <c r="D233" s="221">
        <v>64</v>
      </c>
      <c r="E233" s="29">
        <v>17</v>
      </c>
      <c r="F233" s="27">
        <v>0</v>
      </c>
      <c r="G233" s="27">
        <v>0</v>
      </c>
    </row>
    <row r="234" spans="1:7" ht="12.75">
      <c r="A234" s="27">
        <v>913</v>
      </c>
      <c r="B234" s="28" t="s">
        <v>270</v>
      </c>
      <c r="C234" s="27">
        <v>1700</v>
      </c>
      <c r="D234" s="221">
        <v>75</v>
      </c>
      <c r="E234" s="29">
        <v>0</v>
      </c>
      <c r="F234" s="27">
        <v>0</v>
      </c>
      <c r="G234" s="27">
        <v>0</v>
      </c>
    </row>
    <row r="235" spans="1:7" ht="12.75">
      <c r="A235" s="27">
        <v>914</v>
      </c>
      <c r="B235" s="28" t="s">
        <v>271</v>
      </c>
      <c r="C235" s="27">
        <v>1600</v>
      </c>
      <c r="D235" s="221">
        <v>88</v>
      </c>
      <c r="E235" s="29">
        <v>0</v>
      </c>
      <c r="F235" s="27">
        <v>0</v>
      </c>
      <c r="G235" s="27">
        <v>0</v>
      </c>
    </row>
    <row r="236" spans="1:7" ht="12.75">
      <c r="A236" s="27">
        <v>915</v>
      </c>
      <c r="B236" s="28" t="s">
        <v>272</v>
      </c>
      <c r="C236" s="27">
        <v>1700</v>
      </c>
      <c r="D236" s="221">
        <v>75</v>
      </c>
      <c r="E236" s="29">
        <v>150</v>
      </c>
      <c r="F236" s="27">
        <v>0</v>
      </c>
      <c r="G236" s="27">
        <v>0</v>
      </c>
    </row>
    <row r="237" spans="1:7" ht="12.75">
      <c r="A237" s="27">
        <v>916</v>
      </c>
      <c r="B237" s="28" t="s">
        <v>273</v>
      </c>
      <c r="C237" s="27">
        <v>1300</v>
      </c>
      <c r="D237" s="221">
        <v>127</v>
      </c>
      <c r="E237" s="29">
        <v>0</v>
      </c>
      <c r="F237" s="27">
        <v>0</v>
      </c>
      <c r="G237" s="27">
        <v>0</v>
      </c>
    </row>
    <row r="238" spans="1:7" ht="12.75">
      <c r="A238" s="27">
        <v>917</v>
      </c>
      <c r="B238" s="28" t="s">
        <v>274</v>
      </c>
      <c r="C238" s="27">
        <v>971</v>
      </c>
      <c r="D238" s="221">
        <v>170</v>
      </c>
      <c r="E238" s="29">
        <v>0</v>
      </c>
      <c r="F238" s="27">
        <v>0</v>
      </c>
      <c r="G238" s="27">
        <v>0</v>
      </c>
    </row>
    <row r="239" spans="1:7" ht="12.75">
      <c r="A239" s="27">
        <v>918</v>
      </c>
      <c r="B239" s="28" t="s">
        <v>170</v>
      </c>
      <c r="C239" s="27">
        <v>971</v>
      </c>
      <c r="D239" s="221">
        <v>170</v>
      </c>
      <c r="E239" s="29">
        <v>150</v>
      </c>
      <c r="F239" s="27">
        <v>0</v>
      </c>
      <c r="G239" s="27">
        <v>0</v>
      </c>
    </row>
    <row r="240" spans="1:7" ht="12.75">
      <c r="A240" s="27">
        <v>919</v>
      </c>
      <c r="B240" s="28" t="s">
        <v>275</v>
      </c>
      <c r="C240" s="27">
        <v>971</v>
      </c>
      <c r="D240" s="221">
        <v>170</v>
      </c>
      <c r="E240" s="29">
        <v>17</v>
      </c>
      <c r="F240" s="27">
        <v>0</v>
      </c>
      <c r="G240" s="27">
        <v>0</v>
      </c>
    </row>
    <row r="241" spans="1:7" ht="12.75">
      <c r="A241" s="27">
        <v>920</v>
      </c>
      <c r="B241" s="28" t="s">
        <v>276</v>
      </c>
      <c r="C241" s="27">
        <v>971</v>
      </c>
      <c r="D241" s="221">
        <v>170</v>
      </c>
      <c r="E241" s="29">
        <v>150</v>
      </c>
      <c r="F241" s="27">
        <v>0</v>
      </c>
      <c r="G241" s="27">
        <v>0</v>
      </c>
    </row>
    <row r="242" spans="1:7" ht="12.75">
      <c r="A242" s="27">
        <v>921</v>
      </c>
      <c r="B242" s="28" t="s">
        <v>277</v>
      </c>
      <c r="C242" s="27">
        <v>971</v>
      </c>
      <c r="D242" s="221">
        <v>170</v>
      </c>
      <c r="E242" s="29">
        <v>0</v>
      </c>
      <c r="F242" s="27">
        <v>0</v>
      </c>
      <c r="G242" s="27">
        <v>0</v>
      </c>
    </row>
    <row r="243" spans="1:7" ht="12.75">
      <c r="A243" s="27">
        <v>922</v>
      </c>
      <c r="B243" s="28" t="s">
        <v>278</v>
      </c>
      <c r="C243" s="27">
        <v>971</v>
      </c>
      <c r="D243" s="221">
        <v>170</v>
      </c>
      <c r="E243" s="29">
        <v>0</v>
      </c>
      <c r="F243" s="27">
        <v>0</v>
      </c>
      <c r="G243" s="27">
        <v>0</v>
      </c>
    </row>
    <row r="244" spans="1:7" ht="12.75">
      <c r="A244" s="27">
        <v>923</v>
      </c>
      <c r="B244" s="28" t="s">
        <v>279</v>
      </c>
      <c r="C244" s="27">
        <v>971</v>
      </c>
      <c r="D244" s="221">
        <v>170</v>
      </c>
      <c r="E244" s="29">
        <v>0</v>
      </c>
      <c r="F244" s="27">
        <v>0</v>
      </c>
      <c r="G244" s="27">
        <v>0</v>
      </c>
    </row>
    <row r="245" spans="1:7" ht="12.75">
      <c r="A245" s="27">
        <v>924</v>
      </c>
      <c r="B245" s="28" t="s">
        <v>280</v>
      </c>
      <c r="C245" s="27">
        <v>971</v>
      </c>
      <c r="D245" s="221">
        <v>170</v>
      </c>
      <c r="E245" s="29">
        <v>150</v>
      </c>
      <c r="F245" s="27">
        <v>0</v>
      </c>
      <c r="G245" s="27">
        <v>0</v>
      </c>
    </row>
    <row r="246" spans="1:7" ht="12.75">
      <c r="A246" s="27">
        <v>925</v>
      </c>
      <c r="B246" s="28" t="s">
        <v>72</v>
      </c>
      <c r="C246" s="27">
        <v>971</v>
      </c>
      <c r="D246" s="221">
        <v>170</v>
      </c>
      <c r="E246" s="29">
        <v>0</v>
      </c>
      <c r="F246" s="27">
        <v>0</v>
      </c>
      <c r="G246" s="27">
        <v>0</v>
      </c>
    </row>
    <row r="247" spans="1:7" ht="12.75">
      <c r="A247" s="27">
        <v>926</v>
      </c>
      <c r="B247" s="28" t="s">
        <v>194</v>
      </c>
      <c r="C247" s="27">
        <v>1500</v>
      </c>
      <c r="D247" s="221">
        <v>101</v>
      </c>
      <c r="E247" s="29">
        <v>150</v>
      </c>
      <c r="F247" s="27">
        <v>0</v>
      </c>
      <c r="G247" s="27">
        <v>0</v>
      </c>
    </row>
    <row r="248" spans="1:7" ht="12.75">
      <c r="A248" s="27">
        <v>928</v>
      </c>
      <c r="B248" s="28" t="s">
        <v>165</v>
      </c>
      <c r="C248" s="27">
        <v>1500</v>
      </c>
      <c r="D248" s="221">
        <v>101</v>
      </c>
      <c r="E248" s="29">
        <v>150</v>
      </c>
      <c r="F248" s="27">
        <v>0</v>
      </c>
      <c r="G248" s="27">
        <v>0</v>
      </c>
    </row>
    <row r="249" spans="1:7" ht="12.75">
      <c r="A249" s="27">
        <v>929</v>
      </c>
      <c r="B249" s="28" t="s">
        <v>281</v>
      </c>
      <c r="C249" s="27">
        <v>971</v>
      </c>
      <c r="D249" s="221">
        <v>170</v>
      </c>
      <c r="E249" s="29">
        <v>150</v>
      </c>
      <c r="F249" s="27">
        <v>0</v>
      </c>
      <c r="G249" s="27">
        <v>0</v>
      </c>
    </row>
    <row r="250" spans="1:7" ht="12.75">
      <c r="A250" s="27">
        <v>930</v>
      </c>
      <c r="B250" s="28" t="s">
        <v>282</v>
      </c>
      <c r="C250" s="27">
        <v>1592</v>
      </c>
      <c r="D250" s="221">
        <v>89</v>
      </c>
      <c r="E250" s="29">
        <v>0</v>
      </c>
      <c r="F250" s="27">
        <v>0</v>
      </c>
      <c r="G250" s="27">
        <v>0</v>
      </c>
    </row>
    <row r="251" spans="1:7" ht="12.75">
      <c r="A251" s="27">
        <v>931</v>
      </c>
      <c r="B251" s="28" t="s">
        <v>283</v>
      </c>
      <c r="C251" s="27">
        <v>971</v>
      </c>
      <c r="D251" s="221">
        <v>170</v>
      </c>
      <c r="E251" s="29">
        <v>0</v>
      </c>
      <c r="F251" s="27">
        <v>0</v>
      </c>
      <c r="G251" s="27">
        <v>0</v>
      </c>
    </row>
    <row r="252" spans="1:7" ht="12.75">
      <c r="A252" s="27">
        <v>932</v>
      </c>
      <c r="B252" s="28" t="s">
        <v>284</v>
      </c>
      <c r="C252" s="27">
        <v>2220</v>
      </c>
      <c r="D252" s="221">
        <v>7</v>
      </c>
      <c r="E252" s="29">
        <v>0</v>
      </c>
      <c r="F252" s="27">
        <v>0</v>
      </c>
      <c r="G252" s="27">
        <v>0</v>
      </c>
    </row>
    <row r="253" spans="1:7" ht="12.75">
      <c r="A253" s="37">
        <v>933</v>
      </c>
      <c r="B253" s="38" t="s">
        <v>285</v>
      </c>
      <c r="C253" s="37">
        <v>1580</v>
      </c>
      <c r="D253" s="221">
        <v>90</v>
      </c>
      <c r="E253" s="39">
        <v>0</v>
      </c>
      <c r="F253" s="37">
        <v>0</v>
      </c>
      <c r="G253" s="37">
        <v>0</v>
      </c>
    </row>
    <row r="254" spans="1:7" ht="12.75">
      <c r="A254" s="27">
        <v>934</v>
      </c>
      <c r="B254" s="28" t="s">
        <v>286</v>
      </c>
      <c r="C254" s="27">
        <v>922</v>
      </c>
      <c r="D254" s="221">
        <v>176</v>
      </c>
      <c r="E254" s="29">
        <v>0</v>
      </c>
      <c r="F254" s="27">
        <v>0</v>
      </c>
      <c r="G254" s="27">
        <v>0</v>
      </c>
    </row>
    <row r="255" spans="1:7" ht="12.75">
      <c r="A255" s="27">
        <v>935</v>
      </c>
      <c r="B255" s="28" t="s">
        <v>287</v>
      </c>
      <c r="C255" s="27">
        <v>971</v>
      </c>
      <c r="D255" s="221">
        <v>170</v>
      </c>
      <c r="E255" s="29">
        <v>0</v>
      </c>
      <c r="F255" s="27">
        <v>0</v>
      </c>
      <c r="G255" s="27">
        <v>0</v>
      </c>
    </row>
    <row r="256" spans="1:7" ht="12.75">
      <c r="A256" s="27">
        <v>936</v>
      </c>
      <c r="B256" s="28" t="s">
        <v>288</v>
      </c>
      <c r="C256" s="27">
        <v>1250</v>
      </c>
      <c r="D256" s="221">
        <v>134</v>
      </c>
      <c r="E256" s="29">
        <v>0</v>
      </c>
      <c r="F256" s="27">
        <v>0</v>
      </c>
      <c r="G256" s="27">
        <v>0</v>
      </c>
    </row>
    <row r="257" spans="1:7" ht="12.75">
      <c r="A257" s="34">
        <v>937</v>
      </c>
      <c r="B257" s="35" t="s">
        <v>289</v>
      </c>
      <c r="C257" s="34">
        <v>971</v>
      </c>
      <c r="D257" s="221">
        <v>170</v>
      </c>
      <c r="E257" s="36">
        <v>0</v>
      </c>
      <c r="F257" s="34">
        <v>0</v>
      </c>
      <c r="G257" s="34">
        <v>0</v>
      </c>
    </row>
    <row r="258" spans="1:7" ht="12.75">
      <c r="A258" s="27">
        <v>940</v>
      </c>
      <c r="B258" s="28" t="s">
        <v>290</v>
      </c>
      <c r="C258" s="27">
        <v>1692</v>
      </c>
      <c r="D258" s="221">
        <v>76</v>
      </c>
      <c r="E258" s="29">
        <v>0</v>
      </c>
      <c r="F258" s="27">
        <v>0</v>
      </c>
      <c r="G258" s="27">
        <v>0</v>
      </c>
    </row>
    <row r="259" spans="1:7" ht="12.75">
      <c r="A259" s="27">
        <v>941</v>
      </c>
      <c r="B259" s="28" t="s">
        <v>291</v>
      </c>
      <c r="C259" s="27">
        <v>1942</v>
      </c>
      <c r="D259" s="221">
        <v>43</v>
      </c>
      <c r="E259" s="29">
        <v>0</v>
      </c>
      <c r="F259" s="27">
        <v>0</v>
      </c>
      <c r="G259" s="27">
        <v>0</v>
      </c>
    </row>
    <row r="260" spans="1:7" ht="12.75">
      <c r="A260" s="27">
        <v>942</v>
      </c>
      <c r="B260" s="28" t="s">
        <v>292</v>
      </c>
      <c r="C260" s="27">
        <v>1782</v>
      </c>
      <c r="D260" s="221">
        <v>64</v>
      </c>
      <c r="E260" s="29">
        <v>0</v>
      </c>
      <c r="F260" s="27">
        <v>0</v>
      </c>
      <c r="G260" s="27">
        <v>0</v>
      </c>
    </row>
    <row r="261" spans="1:7" ht="12.75">
      <c r="A261" s="27">
        <v>943</v>
      </c>
      <c r="B261" s="28" t="s">
        <v>193</v>
      </c>
      <c r="C261" s="27">
        <v>1500</v>
      </c>
      <c r="D261" s="221">
        <v>101</v>
      </c>
      <c r="E261" s="29">
        <v>150</v>
      </c>
      <c r="F261" s="27">
        <v>0</v>
      </c>
      <c r="G261" s="27">
        <v>0</v>
      </c>
    </row>
    <row r="262" spans="1:7" ht="12.75">
      <c r="A262" s="27">
        <v>944</v>
      </c>
      <c r="B262" s="28" t="s">
        <v>293</v>
      </c>
      <c r="C262" s="27">
        <v>1400</v>
      </c>
      <c r="D262" s="221">
        <v>114</v>
      </c>
      <c r="E262" s="29">
        <v>0</v>
      </c>
      <c r="F262" s="27">
        <v>0</v>
      </c>
      <c r="G262" s="27">
        <v>0</v>
      </c>
    </row>
    <row r="263" spans="1:7" ht="12.75">
      <c r="A263" s="27">
        <v>945</v>
      </c>
      <c r="B263" s="28" t="s">
        <v>294</v>
      </c>
      <c r="C263" s="27">
        <v>1782</v>
      </c>
      <c r="D263" s="221">
        <v>64</v>
      </c>
      <c r="E263" s="29">
        <v>0</v>
      </c>
      <c r="F263" s="27">
        <v>0</v>
      </c>
      <c r="G263" s="27">
        <v>669</v>
      </c>
    </row>
    <row r="264" spans="1:7" ht="12.75">
      <c r="A264" s="27">
        <v>946</v>
      </c>
      <c r="B264" s="28" t="s">
        <v>228</v>
      </c>
      <c r="C264" s="27">
        <v>971</v>
      </c>
      <c r="D264" s="221">
        <v>170</v>
      </c>
      <c r="E264" s="29">
        <v>0</v>
      </c>
      <c r="F264" s="27">
        <v>0</v>
      </c>
      <c r="G264" s="27">
        <v>620</v>
      </c>
    </row>
    <row r="265" spans="1:7" ht="12.75">
      <c r="A265" s="27">
        <v>947</v>
      </c>
      <c r="B265" s="28" t="s">
        <v>295</v>
      </c>
      <c r="C265" s="27">
        <v>971</v>
      </c>
      <c r="D265" s="221">
        <v>170</v>
      </c>
      <c r="E265" s="29">
        <v>0</v>
      </c>
      <c r="F265" s="27">
        <v>0</v>
      </c>
      <c r="G265" s="27">
        <v>155</v>
      </c>
    </row>
    <row r="266" spans="1:7" ht="12.75">
      <c r="A266" s="27">
        <v>951</v>
      </c>
      <c r="B266" s="28" t="s">
        <v>180</v>
      </c>
      <c r="C266" s="27">
        <v>1500</v>
      </c>
      <c r="D266" s="221">
        <v>101</v>
      </c>
      <c r="E266" s="29">
        <v>150</v>
      </c>
      <c r="F266" s="27">
        <v>0</v>
      </c>
      <c r="G266" s="27">
        <v>0</v>
      </c>
    </row>
    <row r="267" spans="1:7" ht="12.75">
      <c r="A267" s="27">
        <v>952</v>
      </c>
      <c r="B267" s="28" t="s">
        <v>296</v>
      </c>
      <c r="C267" s="27">
        <v>971</v>
      </c>
      <c r="D267" s="221">
        <v>170</v>
      </c>
      <c r="E267" s="29">
        <v>0</v>
      </c>
      <c r="F267" s="27">
        <v>0</v>
      </c>
      <c r="G267" s="27">
        <v>155</v>
      </c>
    </row>
    <row r="268" spans="1:7" ht="12.75">
      <c r="A268" s="27">
        <v>953</v>
      </c>
      <c r="B268" s="28" t="s">
        <v>297</v>
      </c>
      <c r="C268" s="27">
        <v>971</v>
      </c>
      <c r="D268" s="221">
        <v>170</v>
      </c>
      <c r="E268" s="29">
        <v>0</v>
      </c>
      <c r="F268" s="27">
        <v>0</v>
      </c>
      <c r="G268" s="27">
        <v>155</v>
      </c>
    </row>
    <row r="269" spans="1:7" ht="12.75">
      <c r="A269" s="27">
        <v>954</v>
      </c>
      <c r="B269" s="28" t="s">
        <v>298</v>
      </c>
      <c r="C269" s="27">
        <v>1600</v>
      </c>
      <c r="D269" s="221">
        <v>88</v>
      </c>
      <c r="E269" s="29">
        <v>0</v>
      </c>
      <c r="F269" s="27">
        <v>0</v>
      </c>
      <c r="G269" s="27">
        <v>657</v>
      </c>
    </row>
    <row r="270" spans="1:7" ht="12.75">
      <c r="A270" s="27">
        <v>955</v>
      </c>
      <c r="B270" s="28" t="s">
        <v>214</v>
      </c>
      <c r="C270" s="27">
        <v>971</v>
      </c>
      <c r="D270" s="221">
        <v>170</v>
      </c>
      <c r="E270" s="29">
        <v>0</v>
      </c>
      <c r="F270" s="27">
        <v>0</v>
      </c>
      <c r="G270" s="27">
        <v>0</v>
      </c>
    </row>
    <row r="271" spans="1:7" ht="12.75">
      <c r="A271" s="27">
        <v>956</v>
      </c>
      <c r="B271" s="28" t="s">
        <v>299</v>
      </c>
      <c r="C271" s="27">
        <v>1692</v>
      </c>
      <c r="D271" s="221">
        <v>76</v>
      </c>
      <c r="E271" s="29">
        <v>0</v>
      </c>
      <c r="F271" s="27">
        <v>0</v>
      </c>
      <c r="G271" s="27">
        <v>663</v>
      </c>
    </row>
    <row r="272" spans="1:7" ht="12.75">
      <c r="A272" s="27">
        <v>957</v>
      </c>
      <c r="B272" s="28" t="s">
        <v>300</v>
      </c>
      <c r="C272" s="27">
        <v>1700</v>
      </c>
      <c r="D272" s="221">
        <v>75</v>
      </c>
      <c r="E272" s="29">
        <v>0</v>
      </c>
      <c r="F272" s="27">
        <v>0</v>
      </c>
      <c r="G272" s="27">
        <v>0</v>
      </c>
    </row>
    <row r="273" spans="1:7" ht="12.75">
      <c r="A273" s="27">
        <v>958</v>
      </c>
      <c r="B273" s="28" t="s">
        <v>301</v>
      </c>
      <c r="C273" s="27">
        <v>2913</v>
      </c>
      <c r="D273" s="221">
        <v>0</v>
      </c>
      <c r="E273" s="29">
        <v>0</v>
      </c>
      <c r="F273" s="27">
        <v>0</v>
      </c>
      <c r="G273" s="27">
        <v>0</v>
      </c>
    </row>
    <row r="274" spans="1:7" ht="12.75">
      <c r="A274" s="27">
        <v>959</v>
      </c>
      <c r="B274" s="28" t="s">
        <v>302</v>
      </c>
      <c r="C274" s="27">
        <v>2220</v>
      </c>
      <c r="D274" s="221">
        <v>7</v>
      </c>
      <c r="E274" s="29">
        <v>0</v>
      </c>
      <c r="F274" s="27">
        <v>0</v>
      </c>
      <c r="G274" s="27">
        <v>0</v>
      </c>
    </row>
    <row r="275" spans="1:7" ht="12.75">
      <c r="A275" s="27">
        <v>960</v>
      </c>
      <c r="B275" s="28" t="s">
        <v>303</v>
      </c>
      <c r="C275" s="27">
        <v>1750</v>
      </c>
      <c r="D275" s="221">
        <v>68</v>
      </c>
      <c r="E275" s="29">
        <v>0</v>
      </c>
      <c r="F275" s="27">
        <v>0</v>
      </c>
      <c r="G275" s="27">
        <v>0</v>
      </c>
    </row>
    <row r="276" spans="1:7" ht="12.75">
      <c r="A276" s="27">
        <v>961</v>
      </c>
      <c r="B276" s="28" t="s">
        <v>304</v>
      </c>
      <c r="C276" s="27">
        <v>1580</v>
      </c>
      <c r="D276" s="221">
        <v>90</v>
      </c>
      <c r="E276" s="29">
        <v>0</v>
      </c>
      <c r="F276" s="27">
        <v>0</v>
      </c>
      <c r="G276" s="27">
        <v>0</v>
      </c>
    </row>
    <row r="277" spans="1:7" ht="12.75">
      <c r="A277" s="27">
        <v>962</v>
      </c>
      <c r="B277" s="28" t="s">
        <v>305</v>
      </c>
      <c r="C277" s="27">
        <v>1580</v>
      </c>
      <c r="D277" s="221">
        <v>90</v>
      </c>
      <c r="E277" s="29">
        <v>0</v>
      </c>
      <c r="F277" s="27">
        <v>0</v>
      </c>
      <c r="G277" s="27">
        <v>0</v>
      </c>
    </row>
    <row r="278" spans="1:7" ht="12.75">
      <c r="A278" s="27">
        <v>963</v>
      </c>
      <c r="B278" s="28" t="s">
        <v>306</v>
      </c>
      <c r="C278" s="27">
        <v>951</v>
      </c>
      <c r="D278" s="221">
        <v>173</v>
      </c>
      <c r="E278" s="29">
        <v>0</v>
      </c>
      <c r="F278" s="27">
        <v>0</v>
      </c>
      <c r="G278" s="27">
        <v>0</v>
      </c>
    </row>
    <row r="279" spans="1:7" ht="12.75">
      <c r="A279" s="27">
        <v>965</v>
      </c>
      <c r="B279" s="28" t="s">
        <v>307</v>
      </c>
      <c r="C279" s="27">
        <v>2913</v>
      </c>
      <c r="D279" s="221">
        <v>0</v>
      </c>
      <c r="E279" s="29">
        <v>0</v>
      </c>
      <c r="F279" s="27">
        <v>0</v>
      </c>
      <c r="G279" s="27">
        <v>0</v>
      </c>
    </row>
    <row r="280" spans="1:7" ht="12.75">
      <c r="A280" s="27">
        <v>966</v>
      </c>
      <c r="B280" s="28" t="s">
        <v>308</v>
      </c>
      <c r="C280" s="27">
        <v>1850</v>
      </c>
      <c r="D280" s="221">
        <v>55</v>
      </c>
      <c r="E280" s="29">
        <v>0</v>
      </c>
      <c r="F280" s="27">
        <v>0</v>
      </c>
      <c r="G280" s="27">
        <v>0</v>
      </c>
    </row>
    <row r="281" spans="1:7" ht="12.75">
      <c r="A281" s="27">
        <v>967</v>
      </c>
      <c r="B281" s="28" t="s">
        <v>309</v>
      </c>
      <c r="C281" s="27">
        <v>1564</v>
      </c>
      <c r="D281" s="221">
        <v>93</v>
      </c>
      <c r="E281" s="29">
        <v>0</v>
      </c>
      <c r="F281" s="27">
        <v>0</v>
      </c>
      <c r="G281" s="27">
        <v>0</v>
      </c>
    </row>
    <row r="282" spans="1:7" ht="12.75">
      <c r="A282" s="27">
        <v>968</v>
      </c>
      <c r="B282" s="28" t="s">
        <v>255</v>
      </c>
      <c r="C282" s="27">
        <v>1500</v>
      </c>
      <c r="D282" s="221">
        <v>101</v>
      </c>
      <c r="E282" s="29">
        <v>0</v>
      </c>
      <c r="F282" s="27">
        <v>0</v>
      </c>
      <c r="G282" s="27">
        <v>0</v>
      </c>
    </row>
    <row r="283" spans="1:7" ht="12.75">
      <c r="A283" s="27">
        <v>969</v>
      </c>
      <c r="B283" s="28" t="s">
        <v>310</v>
      </c>
      <c r="C283" s="27">
        <v>971</v>
      </c>
      <c r="D283" s="221">
        <v>170</v>
      </c>
      <c r="E283" s="29">
        <v>150</v>
      </c>
      <c r="F283" s="27">
        <v>0</v>
      </c>
      <c r="G283" s="27">
        <v>0</v>
      </c>
    </row>
    <row r="284" spans="1:7" ht="12.75">
      <c r="A284" s="27">
        <v>970</v>
      </c>
      <c r="B284" s="28" t="s">
        <v>311</v>
      </c>
      <c r="C284" s="27">
        <v>1480</v>
      </c>
      <c r="D284" s="221">
        <v>104</v>
      </c>
      <c r="E284" s="29">
        <v>0</v>
      </c>
      <c r="F284" s="27">
        <v>0</v>
      </c>
      <c r="G284" s="27">
        <v>0</v>
      </c>
    </row>
    <row r="285" spans="1:7" ht="12.75">
      <c r="A285" s="27">
        <v>971</v>
      </c>
      <c r="B285" s="28" t="s">
        <v>312</v>
      </c>
      <c r="C285" s="27">
        <v>1400</v>
      </c>
      <c r="D285" s="221">
        <v>114</v>
      </c>
      <c r="E285" s="29">
        <v>150</v>
      </c>
      <c r="F285" s="27">
        <v>0</v>
      </c>
      <c r="G285" s="27">
        <v>0</v>
      </c>
    </row>
    <row r="286" spans="1:7" ht="12.75">
      <c r="A286" s="27">
        <v>972</v>
      </c>
      <c r="B286" s="28" t="s">
        <v>313</v>
      </c>
      <c r="C286" s="27">
        <v>1692</v>
      </c>
      <c r="D286" s="221">
        <v>76</v>
      </c>
      <c r="E286" s="29">
        <v>17</v>
      </c>
      <c r="F286" s="27">
        <v>0</v>
      </c>
      <c r="G286" s="27">
        <v>0</v>
      </c>
    </row>
    <row r="287" spans="1:7" ht="12.75">
      <c r="A287" s="27">
        <v>973</v>
      </c>
      <c r="B287" s="28" t="s">
        <v>314</v>
      </c>
      <c r="C287" s="27">
        <v>1592</v>
      </c>
      <c r="D287" s="221">
        <v>89</v>
      </c>
      <c r="E287" s="29">
        <v>17</v>
      </c>
      <c r="F287" s="27">
        <v>0</v>
      </c>
      <c r="G287" s="27">
        <v>0</v>
      </c>
    </row>
    <row r="288" spans="1:7" ht="12.75">
      <c r="A288" s="27">
        <v>974</v>
      </c>
      <c r="B288" s="28" t="s">
        <v>315</v>
      </c>
      <c r="C288" s="27">
        <v>1500</v>
      </c>
      <c r="D288" s="221">
        <v>101</v>
      </c>
      <c r="E288" s="29">
        <v>150</v>
      </c>
      <c r="F288" s="27">
        <v>0</v>
      </c>
      <c r="G288" s="27">
        <v>0</v>
      </c>
    </row>
    <row r="289" spans="1:7" ht="12.75">
      <c r="A289" s="27">
        <v>975</v>
      </c>
      <c r="B289" s="28" t="s">
        <v>316</v>
      </c>
      <c r="C289" s="27">
        <v>971</v>
      </c>
      <c r="D289" s="221">
        <v>170</v>
      </c>
      <c r="E289" s="29">
        <v>0</v>
      </c>
      <c r="F289" s="27">
        <v>0</v>
      </c>
      <c r="G289" s="27">
        <v>0</v>
      </c>
    </row>
    <row r="290" spans="1:7" ht="12.75">
      <c r="A290" s="27">
        <v>976</v>
      </c>
      <c r="B290" s="28" t="s">
        <v>317</v>
      </c>
      <c r="C290" s="27">
        <v>971</v>
      </c>
      <c r="D290" s="221">
        <v>170</v>
      </c>
      <c r="E290" s="29">
        <v>0</v>
      </c>
      <c r="F290" s="27">
        <v>0</v>
      </c>
      <c r="G290" s="27">
        <v>0</v>
      </c>
    </row>
    <row r="291" spans="1:7" ht="12.75">
      <c r="A291" s="27">
        <v>977</v>
      </c>
      <c r="B291" s="28" t="s">
        <v>318</v>
      </c>
      <c r="C291" s="27">
        <v>971</v>
      </c>
      <c r="D291" s="221">
        <v>170</v>
      </c>
      <c r="E291" s="29">
        <v>0</v>
      </c>
      <c r="F291" s="27">
        <v>0</v>
      </c>
      <c r="G291" s="27">
        <v>0</v>
      </c>
    </row>
    <row r="292" spans="1:7" ht="12.75">
      <c r="A292" s="27">
        <v>978</v>
      </c>
      <c r="B292" s="28" t="s">
        <v>319</v>
      </c>
      <c r="C292" s="27">
        <v>1840</v>
      </c>
      <c r="D292" s="221">
        <v>57</v>
      </c>
      <c r="E292" s="29">
        <v>0</v>
      </c>
      <c r="F292" s="27">
        <v>0</v>
      </c>
      <c r="G292" s="27">
        <v>0</v>
      </c>
    </row>
    <row r="293" spans="1:7" ht="12.75">
      <c r="A293" s="27">
        <v>979</v>
      </c>
      <c r="B293" s="28" t="s">
        <v>320</v>
      </c>
      <c r="C293" s="27">
        <v>1740</v>
      </c>
      <c r="D293" s="221">
        <v>70</v>
      </c>
      <c r="E293" s="29">
        <v>0</v>
      </c>
      <c r="F293" s="27">
        <v>0</v>
      </c>
      <c r="G293" s="27">
        <v>0</v>
      </c>
    </row>
    <row r="294" spans="1:7" ht="12.75">
      <c r="A294" s="27">
        <v>980</v>
      </c>
      <c r="B294" s="28" t="s">
        <v>321</v>
      </c>
      <c r="C294" s="27">
        <v>574</v>
      </c>
      <c r="D294" s="221">
        <v>222</v>
      </c>
      <c r="E294" s="29">
        <v>0</v>
      </c>
      <c r="F294" s="27">
        <v>0</v>
      </c>
      <c r="G294" s="27">
        <v>0</v>
      </c>
    </row>
    <row r="295" spans="1:7" ht="12.75">
      <c r="A295" s="27">
        <v>981</v>
      </c>
      <c r="B295" s="28" t="s">
        <v>322</v>
      </c>
      <c r="C295" s="27">
        <v>1782</v>
      </c>
      <c r="D295" s="221">
        <v>64</v>
      </c>
      <c r="E295" s="29">
        <v>0</v>
      </c>
      <c r="F295" s="27">
        <v>0</v>
      </c>
      <c r="G295" s="27">
        <v>0</v>
      </c>
    </row>
    <row r="296" spans="1:7" ht="12.75">
      <c r="A296" s="27">
        <v>982</v>
      </c>
      <c r="B296" s="28" t="s">
        <v>323</v>
      </c>
      <c r="C296" s="27">
        <v>1740</v>
      </c>
      <c r="D296" s="221">
        <v>70</v>
      </c>
      <c r="E296" s="29">
        <v>0</v>
      </c>
      <c r="F296" s="27">
        <v>0</v>
      </c>
      <c r="G296" s="27">
        <v>0</v>
      </c>
    </row>
    <row r="297" spans="1:7" ht="12.75">
      <c r="A297" s="27">
        <v>983</v>
      </c>
      <c r="B297" s="28" t="s">
        <v>324</v>
      </c>
      <c r="C297" s="27">
        <v>1170</v>
      </c>
      <c r="D297" s="221">
        <v>144</v>
      </c>
      <c r="E297" s="29">
        <v>0</v>
      </c>
      <c r="F297" s="27">
        <v>0</v>
      </c>
      <c r="G297" s="27">
        <v>0</v>
      </c>
    </row>
    <row r="298" spans="1:7" ht="12.75">
      <c r="A298" s="27">
        <v>984</v>
      </c>
      <c r="B298" s="28" t="s">
        <v>325</v>
      </c>
      <c r="C298" s="27">
        <v>690</v>
      </c>
      <c r="D298" s="221">
        <v>207</v>
      </c>
      <c r="E298" s="29">
        <v>0</v>
      </c>
      <c r="F298" s="27">
        <v>0</v>
      </c>
      <c r="G298" s="27">
        <v>0</v>
      </c>
    </row>
    <row r="299" spans="1:7" ht="12.75">
      <c r="A299" s="27">
        <v>985</v>
      </c>
      <c r="B299" s="28" t="s">
        <v>326</v>
      </c>
      <c r="C299" s="27">
        <v>2913</v>
      </c>
      <c r="D299" s="221">
        <v>0</v>
      </c>
      <c r="E299" s="29">
        <v>0</v>
      </c>
      <c r="F299" s="27">
        <v>0</v>
      </c>
      <c r="G299" s="27">
        <v>0</v>
      </c>
    </row>
    <row r="300" spans="1:7" ht="12.75">
      <c r="A300" s="27">
        <v>986</v>
      </c>
      <c r="B300" s="28" t="s">
        <v>327</v>
      </c>
      <c r="C300" s="27">
        <v>644</v>
      </c>
      <c r="D300" s="221">
        <v>213</v>
      </c>
      <c r="E300" s="29">
        <v>0</v>
      </c>
      <c r="F300" s="27">
        <v>0</v>
      </c>
      <c r="G300" s="27">
        <v>0</v>
      </c>
    </row>
    <row r="301" spans="1:7" ht="12.75">
      <c r="A301" s="27">
        <v>987</v>
      </c>
      <c r="B301" s="28" t="s">
        <v>169</v>
      </c>
      <c r="C301" s="27">
        <v>1170</v>
      </c>
      <c r="D301" s="221">
        <v>144</v>
      </c>
      <c r="E301" s="29">
        <v>0</v>
      </c>
      <c r="F301" s="27">
        <v>0</v>
      </c>
      <c r="G301" s="27">
        <v>0</v>
      </c>
    </row>
    <row r="302" spans="1:7" ht="12.75">
      <c r="A302" s="27">
        <v>988</v>
      </c>
      <c r="B302" s="28" t="s">
        <v>328</v>
      </c>
      <c r="C302" s="27">
        <v>2600</v>
      </c>
      <c r="D302" s="221">
        <v>0</v>
      </c>
      <c r="E302" s="29">
        <v>0</v>
      </c>
      <c r="F302" s="27">
        <v>0</v>
      </c>
      <c r="G302" s="27">
        <v>0</v>
      </c>
    </row>
    <row r="303" spans="1:7" ht="12.75">
      <c r="A303" s="27">
        <v>989</v>
      </c>
      <c r="B303" s="28" t="s">
        <v>329</v>
      </c>
      <c r="C303" s="27">
        <v>2840</v>
      </c>
      <c r="D303" s="221">
        <v>0</v>
      </c>
      <c r="E303" s="29">
        <v>0</v>
      </c>
      <c r="F303" s="27">
        <v>0</v>
      </c>
      <c r="G303" s="27">
        <v>0</v>
      </c>
    </row>
    <row r="304" spans="1:7" ht="12.75">
      <c r="A304" s="27">
        <v>990</v>
      </c>
      <c r="B304" s="28" t="s">
        <v>330</v>
      </c>
      <c r="C304" s="27">
        <v>2100</v>
      </c>
      <c r="D304" s="221">
        <v>23</v>
      </c>
      <c r="E304" s="29">
        <v>0</v>
      </c>
      <c r="F304" s="27">
        <v>0</v>
      </c>
      <c r="G304" s="27">
        <v>0</v>
      </c>
    </row>
    <row r="305" spans="1:7" ht="12.75">
      <c r="A305" s="27">
        <v>991</v>
      </c>
      <c r="B305" s="28" t="s">
        <v>331</v>
      </c>
      <c r="C305" s="27">
        <v>1850</v>
      </c>
      <c r="D305" s="221">
        <v>55</v>
      </c>
      <c r="E305" s="29">
        <v>0</v>
      </c>
      <c r="F305" s="27">
        <v>0</v>
      </c>
      <c r="G305" s="27">
        <v>0</v>
      </c>
    </row>
    <row r="306" spans="1:7" ht="12.75">
      <c r="A306" s="27">
        <v>992</v>
      </c>
      <c r="B306" s="28" t="s">
        <v>332</v>
      </c>
      <c r="C306" s="27">
        <v>2840</v>
      </c>
      <c r="D306" s="221">
        <v>0</v>
      </c>
      <c r="E306" s="29">
        <v>0</v>
      </c>
      <c r="F306" s="27">
        <v>0</v>
      </c>
      <c r="G306" s="27">
        <v>0</v>
      </c>
    </row>
    <row r="307" spans="1:7" ht="12.75">
      <c r="A307" s="27">
        <v>993</v>
      </c>
      <c r="B307" s="28" t="s">
        <v>333</v>
      </c>
      <c r="C307" s="27">
        <v>2913</v>
      </c>
      <c r="D307" s="221">
        <v>0</v>
      </c>
      <c r="E307" s="29">
        <v>0</v>
      </c>
      <c r="F307" s="27">
        <v>0</v>
      </c>
      <c r="G307" s="27">
        <v>0</v>
      </c>
    </row>
    <row r="308" spans="1:7" ht="12.75">
      <c r="A308" s="27">
        <v>994</v>
      </c>
      <c r="B308" s="28" t="s">
        <v>334</v>
      </c>
      <c r="C308" s="27">
        <v>1580</v>
      </c>
      <c r="D308" s="221">
        <v>90</v>
      </c>
      <c r="E308" s="29">
        <v>0</v>
      </c>
      <c r="F308" s="27">
        <v>0</v>
      </c>
      <c r="G308" s="27">
        <v>0</v>
      </c>
    </row>
    <row r="309" spans="1:7" ht="12.75">
      <c r="A309" s="27">
        <v>995</v>
      </c>
      <c r="B309" s="28" t="s">
        <v>335</v>
      </c>
      <c r="C309" s="27">
        <v>1564</v>
      </c>
      <c r="D309" s="221">
        <v>93</v>
      </c>
      <c r="E309" s="29">
        <v>0</v>
      </c>
      <c r="F309" s="27">
        <v>0</v>
      </c>
      <c r="G309" s="27">
        <v>0</v>
      </c>
    </row>
    <row r="310" spans="1:7" ht="12.75">
      <c r="A310" s="27">
        <v>996</v>
      </c>
      <c r="B310" s="28" t="s">
        <v>72</v>
      </c>
      <c r="C310" s="27">
        <v>1480</v>
      </c>
      <c r="D310" s="221">
        <v>104</v>
      </c>
      <c r="E310" s="29">
        <v>0</v>
      </c>
      <c r="F310" s="27">
        <v>0</v>
      </c>
      <c r="G310" s="27">
        <v>0</v>
      </c>
    </row>
    <row r="311" spans="1:7" ht="12.75">
      <c r="A311" s="27">
        <v>997</v>
      </c>
      <c r="B311" s="28" t="s">
        <v>336</v>
      </c>
      <c r="C311" s="27">
        <v>1564</v>
      </c>
      <c r="D311" s="221">
        <v>93</v>
      </c>
      <c r="E311" s="29">
        <v>0</v>
      </c>
      <c r="F311" s="27">
        <v>0</v>
      </c>
      <c r="G311" s="27">
        <v>0</v>
      </c>
    </row>
    <row r="312" spans="1:7" ht="12.75">
      <c r="A312" s="27">
        <v>998</v>
      </c>
      <c r="B312" s="28" t="s">
        <v>337</v>
      </c>
      <c r="C312" s="27">
        <v>2220</v>
      </c>
      <c r="D312" s="221">
        <v>7</v>
      </c>
      <c r="E312" s="29">
        <v>0</v>
      </c>
      <c r="F312" s="27">
        <v>0</v>
      </c>
      <c r="G312" s="27">
        <v>0</v>
      </c>
    </row>
    <row r="313" spans="1:7" ht="12.75">
      <c r="A313" s="27">
        <v>999</v>
      </c>
      <c r="B313" s="28" t="s">
        <v>338</v>
      </c>
      <c r="C313" s="27">
        <v>3146</v>
      </c>
      <c r="D313" s="221">
        <v>0</v>
      </c>
      <c r="E313" s="29">
        <v>0</v>
      </c>
      <c r="F313" s="27">
        <v>0</v>
      </c>
      <c r="G313" s="27">
        <v>0</v>
      </c>
    </row>
    <row r="314" spans="1:7" ht="13.5" thickBot="1">
      <c r="A314" s="27">
        <v>666</v>
      </c>
      <c r="B314" s="28" t="s">
        <v>339</v>
      </c>
      <c r="C314" s="27" t="s">
        <v>340</v>
      </c>
      <c r="D314" s="221">
        <v>0</v>
      </c>
      <c r="E314" s="40">
        <v>0</v>
      </c>
      <c r="F314" s="41">
        <v>0</v>
      </c>
      <c r="G314" s="41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2009-03-15T23:25:12Z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