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120" windowHeight="8370" tabRatio="593" activeTab="0"/>
  </bookViews>
  <sheets>
    <sheet name="Haberes jubilados" sheetId="1" r:id="rId1"/>
    <sheet name="para varios cargos" sheetId="2" r:id="rId2"/>
    <sheet name="Cargos" sheetId="3" r:id="rId3"/>
  </sheets>
  <externalReferences>
    <externalReference r:id="rId6"/>
  </externalReferences>
  <definedNames>
    <definedName name="cargosascenso">'Haberes jubilados'!#REF!</definedName>
    <definedName name="cargosingreso">'Haberes jubilados'!$C$105</definedName>
    <definedName name="cargosproljor">'Haberes jubilados'!#REF!</definedName>
    <definedName name="cod022feb07">'Haberes jubilados'!$I$57</definedName>
    <definedName name="cod06ago07">'Haberes jubilados'!$K$55</definedName>
    <definedName name="cod06ago07varios1">'para varios cargos'!#REF!</definedName>
    <definedName name="cod06ago07varios2">'para varios cargos'!#REF!</definedName>
    <definedName name="cod06ago07varios3">'para varios cargos'!#REF!</definedName>
    <definedName name="cod06ago07varios4">'para varios cargos'!#REF!</definedName>
    <definedName name="cod06cargo120">'Haberes jubilados'!$C$51</definedName>
    <definedName name="cod06cargos">'Haberes jubilados'!$C$80:$C$91</definedName>
    <definedName name="cod06cargosvar1">'para varios cargos'!$F$5:$F$16</definedName>
    <definedName name="cod06cargosvar2">'para varios cargos'!$F$65:$F$76</definedName>
    <definedName name="cod06cargosvar3">'para varios cargos'!$F$128:$F$139</definedName>
    <definedName name="cod06cargosvar4">'para varios cargos'!$F$193:$F$204</definedName>
    <definedName name="cod06feb07">'Haberes jubilados'!$I$55</definedName>
    <definedName name="cod06feb07varios1">'para varios cargos'!#REF!</definedName>
    <definedName name="cod06feb07varios2">'para varios cargos'!#REF!</definedName>
    <definedName name="cod06feb07varios3">'para varios cargos'!#REF!</definedName>
    <definedName name="cod06feb07varios4">'para varios cargos'!#REF!</definedName>
    <definedName name="cod06horas">'Haberes jubilados'!$C$53</definedName>
    <definedName name="cod06med">'[1]Prop 24 feb 06'!$D$71</definedName>
    <definedName name="cod06medago07">'Haberes jubilados'!$K$65</definedName>
    <definedName name="cod06medfeb07">'Haberes jubilados'!$I$65</definedName>
    <definedName name="cod06medsep07">'Haberes jubilados'!$M$65</definedName>
    <definedName name="cod06sep07">'Haberes jubilados'!$M$55</definedName>
    <definedName name="cod06sep07varios1">'para varios cargos'!$G$18</definedName>
    <definedName name="cod06sep07varios2">'para varios cargos'!$G$78</definedName>
    <definedName name="cod06sep07varios3">'para varios cargos'!$G$141</definedName>
    <definedName name="cod06sep07varios4">'para varios cargos'!$G$206</definedName>
    <definedName name="cod06sup">'[1]Prop 24 feb 06'!$D$77</definedName>
    <definedName name="cod06supago07">'Haberes jubilados'!$K$71</definedName>
    <definedName name="cod06supfeb07">'Haberes jubilados'!$I$71</definedName>
    <definedName name="cod06supsep07">'Haberes jubilados'!$M$71</definedName>
    <definedName name="cod17feb07">'Haberes jubilados'!$I$53</definedName>
    <definedName name="cod17medfeb07">'Haberes jubilados'!$I$66</definedName>
    <definedName name="cod17supfeb07">'Haberes jubilados'!$I$72</definedName>
    <definedName name="cod22medfeb07">'Haberes jubilados'!$I$64</definedName>
    <definedName name="cod22supfeb07">'Haberes jubilados'!$I$70</definedName>
    <definedName name="cod38feb07">'Haberes jubilados'!$I$54</definedName>
    <definedName name="cod38med">'Haberes jubilados'!$C$54</definedName>
    <definedName name="cod38medfeb07">'Haberes jubilados'!$I$63</definedName>
    <definedName name="cod38sup">'Haberes jubilados'!$C$55</definedName>
    <definedName name="cod38supfeb07">'Haberes jubilados'!$I$69</definedName>
    <definedName name="compbasico">'Haberes jubilados'!$F$108</definedName>
    <definedName name="compbasicovarios1">'para varios cargos'!$I$24</definedName>
    <definedName name="compbasicovarios2">'para varios cargos'!$I$84</definedName>
    <definedName name="compbasicovarios3">'para varios cargos'!$I$148</definedName>
    <definedName name="compbasicovarios4">'para varios cargos'!$I$213</definedName>
    <definedName name="cuartocargo">'para varios cargos'!$E$210</definedName>
    <definedName name="frac">'Haberes jubilados'!$F$111</definedName>
    <definedName name="frac1">'para varios cargos'!$I$27</definedName>
    <definedName name="frac2">'para varios cargos'!$I$87</definedName>
    <definedName name="frac3">'para varios cargos'!$I$151</definedName>
    <definedName name="frac4">'para varios cargos'!$I$216</definedName>
    <definedName name="horasmedia">'Haberes jubilados'!$B$148</definedName>
    <definedName name="horassuperior">'Haberes jubilados'!$B$180</definedName>
    <definedName name="indiceago07">'Haberes jubilados'!$K$50</definedName>
    <definedName name="indicefeb07">'Haberes jubilados'!$I$50</definedName>
    <definedName name="indicejul08">'Haberes jubilados'!$Q$50</definedName>
    <definedName name="indicemar08">'Haberes jubilados'!$O$50</definedName>
    <definedName name="indiceproljor">'Haberes jubilados'!$C$52</definedName>
    <definedName name="indicesep07">'Haberes jubilados'!$M$50</definedName>
    <definedName name="indicesept07">'Haberes jubilados'!$M$50</definedName>
    <definedName name="instructivo">'Haberes jubilados'!$A$15</definedName>
    <definedName name="jorcomcargo">'Cargos'!$G$3:$G$314</definedName>
    <definedName name="nombrecargo">'Cargos'!$B$3:$B$314</definedName>
    <definedName name="nuevocod038">'Haberes jubilados'!$E$50</definedName>
    <definedName name="nuevocod06cargo">'Haberes jubilados'!$E$51</definedName>
    <definedName name="nuevocod06cargovarios">'para varios cargos'!#REF!</definedName>
    <definedName name="nuevocod06horas">'Haberes jubilados'!$E$53</definedName>
    <definedName name="nuevocod06med">'[1]Prop 24 feb 06'!$G$71</definedName>
    <definedName name="nuevocod06sup">'[1]Prop 24 feb 06'!$G$77</definedName>
    <definedName name="nuevocod38">'[1]Prop 24 feb 06'!$G$61</definedName>
    <definedName name="nuevocod38med">'Haberes jubilados'!$E$54</definedName>
    <definedName name="nuevocod38sup">'Haberes jubilados'!$E$55</definedName>
    <definedName name="nuevoindproljor">'Haberes jubilados'!$E$52</definedName>
    <definedName name="nuevoproljornada">'[1]Prop 24 feb 06'!$G$63</definedName>
    <definedName name="nuevopuntoindice">'Haberes jubilados'!$E$49</definedName>
    <definedName name="nuevopuntoíndice">'[1]Prop 24 feb 06'!$G$57</definedName>
    <definedName name="numerocargo">'Cargos'!$A$3:$A$314</definedName>
    <definedName name="numhorasmed">'Haberes jubilados'!$D$150</definedName>
    <definedName name="numhorassup">'Haberes jubilados'!$D$182</definedName>
    <definedName name="porant">'Haberes jubilados'!$B$80:$B$91</definedName>
    <definedName name="porantvar1">'para varios cargos'!$E$5:$E$16</definedName>
    <definedName name="porantvar2">'para varios cargos'!$E$65:$E$76</definedName>
    <definedName name="porantvar3">'para varios cargos'!$E$128:$E$139</definedName>
    <definedName name="porantvar4">'para varios cargos'!$E$193:$E$204</definedName>
    <definedName name="porcantigcargo">'Haberes jubilados'!$D$116</definedName>
    <definedName name="porcantighorasmed">'Haberes jubilados'!$D$151</definedName>
    <definedName name="porcantigsup">'Haberes jubilados'!$D$183</definedName>
    <definedName name="porczona">'Haberes jubilados'!$C$113</definedName>
    <definedName name="primercargo">'para varios cargos'!$E$21</definedName>
    <definedName name="proljorago07">'Haberes jubilados'!$K$56</definedName>
    <definedName name="proljorcargo">'Cargos'!$F$3:$F$314</definedName>
    <definedName name="proljorfeb07">'Haberes jubilados'!$I$56</definedName>
    <definedName name="proljorjul08">'Haberes jubilados'!$Q$56</definedName>
    <definedName name="proljormar08">'Haberes jubilados'!$O$56</definedName>
    <definedName name="proljorsep07">'Haberes jubilados'!$M$56</definedName>
    <definedName name="punbasjub">'Haberes jubilados'!$D$118</definedName>
    <definedName name="punbasjubvarios1">'para varios cargos'!$F$34</definedName>
    <definedName name="punbasjubvarios2">'para varios cargos'!$F$95</definedName>
    <definedName name="punbasjubvarios3">'para varios cargos'!$F$159</definedName>
    <definedName name="punbasjubvarios4">'para varios cargos'!$F$224</definedName>
    <definedName name="punproljor">'Haberes jubilados'!$G$150</definedName>
    <definedName name="punto_índice">'[1]Prop 24 feb 06'!$D$57</definedName>
    <definedName name="puntoindice">'Haberes jubilados'!$C$49</definedName>
    <definedName name="PUNTOSbasicos">'Haberes jubilados'!$A$136</definedName>
    <definedName name="puntosbasicoscargo">'Cargos'!$C$3:$C$314</definedName>
    <definedName name="puntoscompbasico">'Cargos'!$D$3:$D$313</definedName>
    <definedName name="puntosproljor">'Haberes jubilados'!$G$118</definedName>
    <definedName name="puntosproljorvarios1">'para varios cargos'!$I$34</definedName>
    <definedName name="puntosproljorvarios2">'para varios cargos'!$I$95</definedName>
    <definedName name="puntosproljorvarios3">'para varios cargos'!$I$159</definedName>
    <definedName name="puntosproljorvarios4">'para varios cargos'!$I$224</definedName>
    <definedName name="puntostotalhorassup">'Haberes jubilados'!$D$185</definedName>
    <definedName name="puntotalhorasmed">'Haberes jubilados'!$D$153</definedName>
    <definedName name="recibofinal">'para varios cargos'!$G$253</definedName>
    <definedName name="salminimofeb07">'Haberes jubilados'!$I$58</definedName>
    <definedName name="salminjorcom">'Haberes jubilados'!$H$69</definedName>
    <definedName name="segundocargo">'para varios cargos'!$E$81</definedName>
    <definedName name="tardifcargo">'Cargos'!$E$3:$E$314</definedName>
    <definedName name="tercercargo">'para varios cargos'!$E$145</definedName>
    <definedName name="valor_cod_038">'[1]Prop 24 feb 06'!$D$61</definedName>
    <definedName name="valor_prol_jor">'[1]Prop 24 feb 06'!$D$63</definedName>
    <definedName name="valorcod038">'Haberes jubilados'!$C$50</definedName>
  </definedNames>
  <calcPr fullCalcOnLoad="1"/>
</workbook>
</file>

<file path=xl/comments1.xml><?xml version="1.0" encoding="utf-8"?>
<comments xmlns="http://schemas.openxmlformats.org/spreadsheetml/2006/main">
  <authors>
    <author>V?ctor</author>
  </authors>
  <commentList>
    <comment ref="A108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Si no saben el número del cargo, lo pueden buscar en la hoja cargos, cuya pestaña aparece en parte inferior izquierda de la pantalla.</t>
        </r>
      </text>
    </comment>
    <comment ref="C113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Completar con el porcentaje de zona que corresponda.</t>
        </r>
      </text>
    </comment>
    <comment ref="E111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Si trabajaron en el mismo cargo en los últimos 10 años, dejar el 120. De lo contraro fraccionar con la cantidad de meses.</t>
        </r>
      </text>
    </comment>
    <comment ref="D116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Para la mayoría de los casos corresponde 120 % de antigüedad, pero he encontrado otros valores en algunos recibos.</t>
        </r>
      </text>
    </comment>
  </commentList>
</comments>
</file>

<file path=xl/comments2.xml><?xml version="1.0" encoding="utf-8"?>
<comments xmlns="http://schemas.openxmlformats.org/spreadsheetml/2006/main">
  <authors>
    <author>V?ctor</author>
  </authors>
  <commentList>
    <comment ref="D24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Si no saben el número del cargo, lo pueden buscar en la hoja cargos, cuya pestaña aparece en parte inferior izquierda de la pantalla.</t>
        </r>
      </text>
    </comment>
    <comment ref="H27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Si trabajaron en el mismo cargo en los últimos 10 años, dejar el 120. De lo contraro fraccionar con la cantidad de meses.</t>
        </r>
      </text>
    </comment>
    <comment ref="E29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Completar con el porcentaje de zona que corresponda.</t>
        </r>
      </text>
    </comment>
    <comment ref="F32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Para la mayoría de los casos corresponde 120 % de antigüedad, pero he encontrado otros valores en algunos recibos.</t>
        </r>
      </text>
    </comment>
    <comment ref="D84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Si no saben el número del cargo, lo pueden buscar en la hoja cargos, cuya pestaña aparece en parte inferior izquierda de la pantalla.</t>
        </r>
      </text>
    </comment>
    <comment ref="H87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Si trabajaron en el mismo cargo en los últimos 10 años, dejar el 120. De lo contraro fraccionar con la cantidad de meses.</t>
        </r>
      </text>
    </comment>
    <comment ref="E89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Completar con el porcentaje de zona que corresponda.</t>
        </r>
      </text>
    </comment>
    <comment ref="F93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Para la mayoría de los casos corresponde 120 % de antigüedad, pero he encontrado otros valores en algunos recibos.</t>
        </r>
      </text>
    </comment>
    <comment ref="D148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Si no saben el número del cargo, lo pueden buscar en la hoja cargos, cuya pestaña aparece en parte inferior izquierda de la pantalla.</t>
        </r>
      </text>
    </comment>
    <comment ref="H151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Si trabajaron en el mismo cargo en los últimos 10 años, dejar el 120. De lo contraro fraccionar con la cantidad de meses.</t>
        </r>
      </text>
    </comment>
    <comment ref="E153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Completar con el porcentaje de zona que corresponda.</t>
        </r>
      </text>
    </comment>
    <comment ref="F157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Para la mayoría de los casos corresponde 120 % de antigüedad, pero he encontrado otros valores en algunos recibos.</t>
        </r>
      </text>
    </comment>
    <comment ref="D213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Si no saben el número del cargo, lo pueden buscar en la hoja cargos, cuya pestaña aparece en parte inferior izquierda de la pantalla.</t>
        </r>
      </text>
    </comment>
    <comment ref="H216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Si trabajaron en el mismo cargo en los últimos 10 años, dejar el 120. De lo contraro fraccionar con la cantidad de meses.</t>
        </r>
      </text>
    </comment>
    <comment ref="E218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Completar con el porcentaje de zona que corresponda.</t>
        </r>
      </text>
    </comment>
    <comment ref="F222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Para la mayoría de los casos corresponde 120 % de antigüedad, pero he encontrado otros valores en algunos recibos.</t>
        </r>
      </text>
    </comment>
  </commentList>
</comments>
</file>

<file path=xl/sharedStrings.xml><?xml version="1.0" encoding="utf-8"?>
<sst xmlns="http://schemas.openxmlformats.org/spreadsheetml/2006/main" count="1086" uniqueCount="480">
  <si>
    <t>MENU</t>
  </si>
  <si>
    <t>instructivo</t>
  </si>
  <si>
    <t>horas nivel medio</t>
  </si>
  <si>
    <t>horas nivel superior</t>
  </si>
  <si>
    <t>Instructivo</t>
  </si>
  <si>
    <t>Leer</t>
  </si>
  <si>
    <r>
      <t xml:space="preserve">Se deben completar los datos en </t>
    </r>
    <r>
      <rPr>
        <b/>
        <sz val="11"/>
        <color indexed="10"/>
        <rFont val="Arial"/>
        <family val="2"/>
      </rPr>
      <t>rojo</t>
    </r>
    <r>
      <rPr>
        <sz val="11"/>
        <rFont val="Arial"/>
        <family val="2"/>
      </rPr>
      <t xml:space="preserve"> y es posible que los </t>
    </r>
    <r>
      <rPr>
        <b/>
        <sz val="11"/>
        <color indexed="53"/>
        <rFont val="Arial"/>
        <family val="2"/>
      </rPr>
      <t>naranjas,</t>
    </r>
    <r>
      <rPr>
        <sz val="11"/>
        <rFont val="Arial"/>
        <family val="2"/>
      </rPr>
      <t xml:space="preserve"> lo demás se calcula todo solo.</t>
    </r>
  </si>
  <si>
    <r>
      <t xml:space="preserve">No tocar los demás valores porque se descontrola, en ese caso </t>
    </r>
    <r>
      <rPr>
        <b/>
        <sz val="11"/>
        <rFont val="Arial"/>
        <family val="2"/>
      </rPr>
      <t>deshacer cambios</t>
    </r>
    <r>
      <rPr>
        <sz val="11"/>
        <rFont val="Arial"/>
        <family val="2"/>
      </rPr>
      <t>.</t>
    </r>
  </si>
  <si>
    <t>Si desean imprimir una situación, realicen el siguiente procedimiento: seleccionar con el mouse el área donde</t>
  </si>
  <si>
    <t xml:space="preserve">aparece el recibo que se desea imprimir, y con eso seleccionado, ir a archivo, imprimir y elegir la opción </t>
  </si>
  <si>
    <t>selección, de lo contrario les va a imprimir toda la planilla, incluyendo comentarios, etc.</t>
  </si>
  <si>
    <t>Víctor Hugo Hutt</t>
  </si>
  <si>
    <t>Prosecretario de Prensa</t>
  </si>
  <si>
    <t>AGMER Seccional Uruguay</t>
  </si>
  <si>
    <r>
      <t xml:space="preserve">Sueldo básico de la categ. </t>
    </r>
    <r>
      <rPr>
        <b/>
        <sz val="10"/>
        <rFont val="Arial"/>
        <family val="2"/>
      </rPr>
      <t>(del activo)</t>
    </r>
  </si>
  <si>
    <t>Porcentaje de Antigüedad</t>
  </si>
  <si>
    <t>(No poner el símbolo %)</t>
  </si>
  <si>
    <t>Puntos básicos</t>
  </si>
  <si>
    <t>Se calcula solo</t>
  </si>
  <si>
    <t>Sueldo básico</t>
  </si>
  <si>
    <t>Antigüedad</t>
  </si>
  <si>
    <t>Haberes</t>
  </si>
  <si>
    <t>Federació de  jubil</t>
  </si>
  <si>
    <t>Aporte IOSPER</t>
  </si>
  <si>
    <t>Seguro ley 3011</t>
  </si>
  <si>
    <t>Reajuste cod 709</t>
  </si>
  <si>
    <t>Serv Sepelio IAPS</t>
  </si>
  <si>
    <t>Otros descuentos</t>
  </si>
  <si>
    <t>Descuentos</t>
  </si>
  <si>
    <t>Líquido</t>
  </si>
  <si>
    <t>Jubilado - HORAS DE NIVEL MEDIO</t>
  </si>
  <si>
    <t>Número de horas</t>
  </si>
  <si>
    <t>Jubilado - HORAS DE NIVEL Superior</t>
  </si>
  <si>
    <t>(no llenar, se calcula solo)</t>
  </si>
  <si>
    <t>puntoindice</t>
  </si>
  <si>
    <t>valorcod038</t>
  </si>
  <si>
    <t>nuevopuntoindice</t>
  </si>
  <si>
    <t>nuevocod038</t>
  </si>
  <si>
    <t>cod06cargo120%</t>
  </si>
  <si>
    <t>nuevocod06cargo</t>
  </si>
  <si>
    <t>indiceproljor</t>
  </si>
  <si>
    <t>nuevoindproljor</t>
  </si>
  <si>
    <t>cod06horas</t>
  </si>
  <si>
    <t>nuevocod06horas</t>
  </si>
  <si>
    <t>cod38med</t>
  </si>
  <si>
    <t>nuevocod38med</t>
  </si>
  <si>
    <t>cod38sup</t>
  </si>
  <si>
    <t>nuevocod38sup</t>
  </si>
  <si>
    <t>INDICE</t>
  </si>
  <si>
    <t>Tarea</t>
  </si>
  <si>
    <t>Prol</t>
  </si>
  <si>
    <t>Jornada</t>
  </si>
  <si>
    <t>CARGO</t>
  </si>
  <si>
    <t>NOMBRE</t>
  </si>
  <si>
    <t>PUNTOS</t>
  </si>
  <si>
    <t>DIFER.</t>
  </si>
  <si>
    <t>JORN</t>
  </si>
  <si>
    <t>Compl</t>
  </si>
  <si>
    <t>JEFE DE PRECEPTORES DE 2DA Y 3RA CATEGORIA</t>
  </si>
  <si>
    <t xml:space="preserve"> RESP. AREA ASISTEMATICA Y SISTEMATICA</t>
  </si>
  <si>
    <t xml:space="preserve"> ASESOR PEDAGOGICO</t>
  </si>
  <si>
    <t xml:space="preserve"> SUPERVISOR D.E.M.Y.A.</t>
  </si>
  <si>
    <t xml:space="preserve"> SECRETARIO DOCENTE D.E.M.Y.A.</t>
  </si>
  <si>
    <t xml:space="preserve"> TECNICO PEDAGOGICO</t>
  </si>
  <si>
    <t xml:space="preserve"> DIRECTOR 1ERA CATEGORIA</t>
  </si>
  <si>
    <t xml:space="preserve"> DIRECTOR 2DA CATEGORIA</t>
  </si>
  <si>
    <t xml:space="preserve"> REGENTE ESC. TECNICA 1ERA CATEGORIA</t>
  </si>
  <si>
    <t xml:space="preserve"> DIRECTOR 3ERA CATEGORIA</t>
  </si>
  <si>
    <t xml:space="preserve"> VICEDIRECTOR 1ERA CATEGORIA</t>
  </si>
  <si>
    <t xml:space="preserve"> VICEDIRECTOR 2DA CATEGORIA</t>
  </si>
  <si>
    <t xml:space="preserve"> JEFE AGROPECUARIO 1ERA CATEGORIA</t>
  </si>
  <si>
    <t xml:space="preserve"> JEFE AGROPECUARIO 2DA CATEGORIA</t>
  </si>
  <si>
    <t xml:space="preserve"> JEFE AGROPECUARIO 3ERA CATEGORIA</t>
  </si>
  <si>
    <t xml:space="preserve"> JEFE SECCION ESC. AGROPECUARIA</t>
  </si>
  <si>
    <t xml:space="preserve"> REGENTE ESC. TECNICA 2DA CATEGORIA</t>
  </si>
  <si>
    <t xml:space="preserve"> MAESTRO ENS PRACT - JEFE SECCION</t>
  </si>
  <si>
    <t xml:space="preserve"> MAESTRO ENS PRACT - 1RA 2DA 3RA</t>
  </si>
  <si>
    <t xml:space="preserve"> JEFE INTERNADO 1ERA CATEGORIA</t>
  </si>
  <si>
    <t xml:space="preserve"> JEFE INTERNADO 3ERA CATEGORIA</t>
  </si>
  <si>
    <t xml:space="preserve"> SECRETARIO 1ERA CATEGORIA</t>
  </si>
  <si>
    <t xml:space="preserve"> SECRETARIO 2DA CATEGORIA</t>
  </si>
  <si>
    <t xml:space="preserve"> SECRETARIO 3ERA CATEGORIA</t>
  </si>
  <si>
    <t xml:space="preserve"> MAESTRO TECNOLOGICO Y ESPECIALIDADES</t>
  </si>
  <si>
    <t xml:space="preserve"> MAESTRO AYUD ENS PRACT 1RA 2DA 3RA</t>
  </si>
  <si>
    <t xml:space="preserve"> PRECEPTOR AYUDANTE INTERNADO 1ERA CATEGORIA</t>
  </si>
  <si>
    <t xml:space="preserve"> PRECEPTOR AYUDANTE INTERNADO 3ERA CATEGORIA</t>
  </si>
  <si>
    <t xml:space="preserve"> PRECEPTOR</t>
  </si>
  <si>
    <t xml:space="preserve"> BIBLIOTECARIO</t>
  </si>
  <si>
    <t xml:space="preserve"> MAESTRO DE GRADO</t>
  </si>
  <si>
    <t xml:space="preserve"> JEFE DE LABORATORIO</t>
  </si>
  <si>
    <t xml:space="preserve"> JEFE DE ENS PRACTICA</t>
  </si>
  <si>
    <t xml:space="preserve"> AYTE TEC DE TRAB PRACT/LABORATORIO</t>
  </si>
  <si>
    <t xml:space="preserve"> SUBJEFE DE PRECEPT 1RA CAT</t>
  </si>
  <si>
    <t xml:space="preserve"> RECTOR PROYECTO 13</t>
  </si>
  <si>
    <t xml:space="preserve"> JEFE INTERNADO 2DA CATEGORIA</t>
  </si>
  <si>
    <t xml:space="preserve"> PRECEPTOR AYUDANTE DE INTERNADO 2DA CATEGORIA</t>
  </si>
  <si>
    <t xml:space="preserve"> VICEDIRECTOR 3ERA CATEGORIA</t>
  </si>
  <si>
    <t xml:space="preserve"> VICERECTOR PROYECTO 13</t>
  </si>
  <si>
    <t xml:space="preserve"> ASESOR PEDAG PROYECTO 13</t>
  </si>
  <si>
    <t xml:space="preserve"> AYUDANTE CLASES PRACTICAS (14 Hs)</t>
  </si>
  <si>
    <t xml:space="preserve"> INSTRUCTOR COMPLEJO AGRARIO</t>
  </si>
  <si>
    <t xml:space="preserve"> DIRECTOR DE 1° C.E.F.</t>
  </si>
  <si>
    <t xml:space="preserve"> MAESTRO DE CICLO E.G.B.</t>
  </si>
  <si>
    <t xml:space="preserve"> COORDINADOR DE ACCIONES NO FORMALES</t>
  </si>
  <si>
    <t xml:space="preserve"> AUXILIAR DE ACCIONES NO FORMALES</t>
  </si>
  <si>
    <t xml:space="preserve"> INSTRUCTOR ESC. AGROPECUARIAS</t>
  </si>
  <si>
    <t xml:space="preserve"> JEFE TALLER ESC. TECNICA 3ERA CATEGORIA</t>
  </si>
  <si>
    <t xml:space="preserve"> JEFE TALLER ESC. TECNICA 1ERA CATEGORIA</t>
  </si>
  <si>
    <t xml:space="preserve"> JEFE TALLER ESC. TECNICA 2DA CATEGORIA</t>
  </si>
  <si>
    <t xml:space="preserve"> PROSECRETARIO 1ERA CAT.</t>
  </si>
  <si>
    <t xml:space="preserve"> PROSECRETARIO 2DA Y 3ERA CAT.</t>
  </si>
  <si>
    <t xml:space="preserve"> JEFE DE PRECEPTORES 1ERA CAT.</t>
  </si>
  <si>
    <t xml:space="preserve"> JEFE DE PRECEPTORES 2DA Y 3ERA CAT.</t>
  </si>
  <si>
    <t xml:space="preserve"> SUBJEFE DE PRECEPTORES 1ERA CAT.</t>
  </si>
  <si>
    <t xml:space="preserve"> JEFE DE PRECEPTORES J. C. AGRARIA</t>
  </si>
  <si>
    <t xml:space="preserve"> JEFE GRAL. DE ENSENANZA PRACTICA 3RA CAT.</t>
  </si>
  <si>
    <r>
      <t xml:space="preserve"> JEFE DPTO. EDUCACION FISICA</t>
    </r>
    <r>
      <rPr>
        <b/>
        <sz val="9"/>
        <color indexed="10"/>
        <rFont val="Arial"/>
        <family val="2"/>
      </rPr>
      <t xml:space="preserve"> (transformado) 971 + 620</t>
    </r>
  </si>
  <si>
    <t xml:space="preserve"> DIRECTOR DE 1ERA CAT. CON PROLONG. DE JORN.</t>
  </si>
  <si>
    <t xml:space="preserve"> DIRECTOR DE 2DA CAT. CON PROLONG. DE JORN.</t>
  </si>
  <si>
    <t xml:space="preserve"> DIRECTOR DE 3ERA CAT. CON PROLONG. DE JORN.</t>
  </si>
  <si>
    <t xml:space="preserve"> VICEDIRECTOR DE 1ERA CAT. CON PROLONG. DE JORN.</t>
  </si>
  <si>
    <t xml:space="preserve"> VICEDIRECTOR DE 2DA CAT. CON PROLONG. DE JORN.</t>
  </si>
  <si>
    <t xml:space="preserve"> DIRECTOR DE 1ERA A/C DE 2 TURNOS CON P. DE JORN</t>
  </si>
  <si>
    <t xml:space="preserve"> DIRECTOR DE 2DA A/C DE 2 TURNOS CON P. DE JORN.</t>
  </si>
  <si>
    <t xml:space="preserve"> DIRECTOR DE 3ERA A/C DE 2 TURNOS CON P. DE JORN.</t>
  </si>
  <si>
    <t xml:space="preserve"> JEFE AGROPECUARIO 1ERA CAT. CON PROLONG. DE JORN.</t>
  </si>
  <si>
    <t xml:space="preserve"> JEFE AGROPECUARIO 2DA CAT. CON PROLONG. DE JORN.</t>
  </si>
  <si>
    <t xml:space="preserve"> JEFE AGROPECUARIO 3ERA CAT. CON PROLONG. DE JORN.</t>
  </si>
  <si>
    <t xml:space="preserve"> JEFE SECCION ESC. AGROP. CON PROLONG. DE JORN.</t>
  </si>
  <si>
    <t xml:space="preserve"> JEFE INTERN. 1ERA CAT. ESC. AGROP. CON P. DE JORN.</t>
  </si>
  <si>
    <t xml:space="preserve"> JEFE INTERN. 2DA CAT. ESC. AGROP. CON P. DE JORN.</t>
  </si>
  <si>
    <t xml:space="preserve"> JEFE INTERN. 3ERA CAT. ESC. AGROP. CON P. DE JORN.</t>
  </si>
  <si>
    <t xml:space="preserve"> PRECEPTOR AYUDANTE INTERN. 1ERA CAT. CON P. DE JORN. (Pasó a 684)</t>
  </si>
  <si>
    <t xml:space="preserve"> PRECEPTOR AYUDANTE INTERN. 2DA CAT. CON P. DE JORN. (Pasó a 684)</t>
  </si>
  <si>
    <t xml:space="preserve"> PRECEPTOR AYUDANTE INTERNADO</t>
  </si>
  <si>
    <t xml:space="preserve"> VICEDIRECTOR ESC. 3ERA CAT. CON PROLONG. DE JORN.</t>
  </si>
  <si>
    <t xml:space="preserve"> DIRECTOR DE 1ERA CAT. A/C DE 3 TURNOS CON P. DE JORN.</t>
  </si>
  <si>
    <t xml:space="preserve"> DIRECTOR DE 2DA CAT. A/C DE 3 TURNOS CON P. DE JORN.</t>
  </si>
  <si>
    <t xml:space="preserve"> DIRECTOR DE 3ERA CAT. A/C DE 3 TURNOS CON P. DE JORN.</t>
  </si>
  <si>
    <t xml:space="preserve"> PRECEPTOR AYUDANTE INTERN. ESC. TECNICA (Pasó a 684)</t>
  </si>
  <si>
    <t>JEFE SECTORIAL DE JORNADA COMPLETA AGRARIA</t>
  </si>
  <si>
    <t xml:space="preserve"> JEFE INTERN. ESC. TECNICA 1ERA CAT. CON PROL. DE JORN.</t>
  </si>
  <si>
    <t xml:space="preserve"> JEFE INTERN. ESC. TECNICA 2DA CAT. CON PROL. DE JORN.</t>
  </si>
  <si>
    <t xml:space="preserve"> JEFE INTERN. ESC. TECNICA 3ERA CAT. CON PROL. DE JORN.</t>
  </si>
  <si>
    <t xml:space="preserve"> AYUDANTE DE CATEDRA</t>
  </si>
  <si>
    <t xml:space="preserve"> REGENTE DE 3ERA CAT.</t>
  </si>
  <si>
    <t xml:space="preserve"> SUBREGENTE DE 1ERA CAT.</t>
  </si>
  <si>
    <t xml:space="preserve"> JEFE GRAL. DE ENS. PRACTICA 1ERA CAT.</t>
  </si>
  <si>
    <t xml:space="preserve"> JEFE GRAL. DE ENS. PRACTICA 2DA CAT.</t>
  </si>
  <si>
    <t xml:space="preserve"> MAESTRO DE GRADO ESC. ANEXAS FFAA</t>
  </si>
  <si>
    <t xml:space="preserve"> ASESORES</t>
  </si>
  <si>
    <t xml:space="preserve"> DIRECTOR ESC. 3RA CAT. ESC. ANEXAS FFAA</t>
  </si>
  <si>
    <t xml:space="preserve"> DIRECTOR ESC. 2DA CAT. ESC. ANEXAS FFAA</t>
  </si>
  <si>
    <t xml:space="preserve"> COORDINADOR HOGAR ESCUELA</t>
  </si>
  <si>
    <t xml:space="preserve"> JEFE DEPARTAMENTO TECNICO</t>
  </si>
  <si>
    <t xml:space="preserve"> SUPERVISOR DE ENSENANZA PRIMARIA</t>
  </si>
  <si>
    <t xml:space="preserve"> SUPERVISOR DE ENSENANZA ESPECIAL</t>
  </si>
  <si>
    <t xml:space="preserve"> SUPERVISOR DE EDUCACION FISICA</t>
  </si>
  <si>
    <t xml:space="preserve"> SUPERVISOR DE ACTIVIDADES PRACTICAS</t>
  </si>
  <si>
    <t xml:space="preserve"> SUPERVISOR DE EDUCACION MUSICAL</t>
  </si>
  <si>
    <t xml:space="preserve"> TECNICO DOCENTE</t>
  </si>
  <si>
    <t xml:space="preserve"> SECRETARIO DOCENTE HOGAR ESCUELA</t>
  </si>
  <si>
    <t xml:space="preserve"> DIRECTOR ESCUELA 1ERA CATEGORIA</t>
  </si>
  <si>
    <t xml:space="preserve"> DIRECTOR GABINETE DE PSICOMETRIA</t>
  </si>
  <si>
    <t xml:space="preserve"> DIRECTOR NIVEL INICIAL 1ERA CATEGORIA</t>
  </si>
  <si>
    <t xml:space="preserve"> DIRECTOR ESCUELA 2DA CATEGORIA</t>
  </si>
  <si>
    <t xml:space="preserve"> DIRECTOR NIVEL INICIAL 2DA CATEGORIA</t>
  </si>
  <si>
    <t xml:space="preserve"> DIRECTOR ESCUELA EDUCACION ESPECIAL</t>
  </si>
  <si>
    <t xml:space="preserve"> DIRECTOR ESCUELA 3ERA CATEGORIA</t>
  </si>
  <si>
    <t xml:space="preserve"> VICEDIRECTOR ESCUELA 1ERA CATEGORIA</t>
  </si>
  <si>
    <t xml:space="preserve"> DIRECTOR ESCUELA CARCEL</t>
  </si>
  <si>
    <t xml:space="preserve"> DIRECTOR ESCUELA 4TA CATEGORIA</t>
  </si>
  <si>
    <t xml:space="preserve"> TECNICO DIFERENCIADO</t>
  </si>
  <si>
    <t xml:space="preserve"> VICEDIRECTOR ESCUELA 2DA CATEGORIA</t>
  </si>
  <si>
    <t xml:space="preserve"> DIRECTOR ESCUELA MATERNAL</t>
  </si>
  <si>
    <t xml:space="preserve"> DIRECTOR ESCUELA ADULTOS 1ERA CATEGORIA</t>
  </si>
  <si>
    <t xml:space="preserve"> DIRECTOR ESCUELA CORAL</t>
  </si>
  <si>
    <t xml:space="preserve"> DIRECTOR ESCUELA ADULTOS 2DA CATEGORIA</t>
  </si>
  <si>
    <t xml:space="preserve"> MAESTRO DOMICILIARIO</t>
  </si>
  <si>
    <t xml:space="preserve"> VISITADOR</t>
  </si>
  <si>
    <t xml:space="preserve"> ASISTENTE SOCIAL</t>
  </si>
  <si>
    <t xml:space="preserve"> MAESTRO ESCUELA DIFERENCIADA</t>
  </si>
  <si>
    <t xml:space="preserve"> DIRECTOR PARQUE ESCOLAR "E. BERDUC"</t>
  </si>
  <si>
    <t xml:space="preserve"> MAESTRO ESPECIAL EDUCACION MUSICAL DIFERENCIADO</t>
  </si>
  <si>
    <t xml:space="preserve"> MAESTRO JARDIN DE INFANTES</t>
  </si>
  <si>
    <t xml:space="preserve"> MAESTRO DE GRADO DIFERENCIADO</t>
  </si>
  <si>
    <t xml:space="preserve"> MAESTRO CARCELARIO</t>
  </si>
  <si>
    <t xml:space="preserve"> SECRETARIO ESCUELA 2DA CATEGORIA</t>
  </si>
  <si>
    <t xml:space="preserve"> MAESTRO ESPECIAL ACTIVIDAD PRACTICAS DIFERENCIADA</t>
  </si>
  <si>
    <t xml:space="preserve"> MAESTRO ESCUELA MATERNAL</t>
  </si>
  <si>
    <t xml:space="preserve"> SECRETARIO ESCUELA 1ERA CATEGORIA</t>
  </si>
  <si>
    <t xml:space="preserve"> MAESTRO ESPECIAL ESCUELA CORAL</t>
  </si>
  <si>
    <t xml:space="preserve"> MAESTRO AUXILIAR ESCUELA DIFERENCIADA</t>
  </si>
  <si>
    <t xml:space="preserve"> MAESTRO EDUCACION FISICA</t>
  </si>
  <si>
    <t xml:space="preserve"> SECRETARIO ESCUELA ADULTOS</t>
  </si>
  <si>
    <t xml:space="preserve"> PSICOPEDAGOGO</t>
  </si>
  <si>
    <t xml:space="preserve"> TECNICO DOCENTE ENSENANZA ESPECIAL</t>
  </si>
  <si>
    <t xml:space="preserve"> DIRECTOR ESCUELA PARA CIEGOS</t>
  </si>
  <si>
    <t xml:space="preserve"> MAESTRO ESCUELA NOCTURNA</t>
  </si>
  <si>
    <t xml:space="preserve"> MAESTRO ESPECIAL ACTIVIDADES PRACTICAS</t>
  </si>
  <si>
    <t xml:space="preserve"> SECRETARIO PARQUE ESCOLAR</t>
  </si>
  <si>
    <t xml:space="preserve"> MAESTRO ESPECIAL ACTIVIDADES PRACTICAS ADULTO</t>
  </si>
  <si>
    <t xml:space="preserve"> MAESTRO ESPECIAL TECNICO AGROPECUARIO</t>
  </si>
  <si>
    <t xml:space="preserve"> MAESTRO HOSPITALARIO</t>
  </si>
  <si>
    <t xml:space="preserve"> BIBLIOTECARIO PEDAGOGICO</t>
  </si>
  <si>
    <t xml:space="preserve"> COORDINADOR CENTRO LABORAL</t>
  </si>
  <si>
    <t xml:space="preserve"> COORDINADOR DEPARTAMENTAL</t>
  </si>
  <si>
    <t xml:space="preserve"> MAESTRO ESPECIAL EDUCACION MUSICAL</t>
  </si>
  <si>
    <t xml:space="preserve"> FONOAUDIOLOGO</t>
  </si>
  <si>
    <t xml:space="preserve"> PSICOLOGO</t>
  </si>
  <si>
    <t xml:space="preserve"> DIRECTOR ESCUELA PARA SORDOS</t>
  </si>
  <si>
    <t xml:space="preserve"> VICEDIRECTOR ESCUELA ENSENANZA ESPECIAL</t>
  </si>
  <si>
    <t xml:space="preserve"> MAESTRO ESPECIAL EDUCACION FISICA DIFERENCIADO</t>
  </si>
  <si>
    <t xml:space="preserve"> SECRETARIO DOCENTE</t>
  </si>
  <si>
    <t xml:space="preserve"> SUPERVISOR ENSENANZA ADULTOS</t>
  </si>
  <si>
    <t xml:space="preserve"> MAESTRO AUXILIAR ESCUELA DIFERENCIADA JORNADA COMPLETA</t>
  </si>
  <si>
    <t xml:space="preserve"> MAESTRO ESPECIAL ACT. PRACT. DIFERENCIADA J. COMPLETA</t>
  </si>
  <si>
    <t xml:space="preserve"> DIRECTOR ESCUELA DIFERENCIADA JORNADA COMPLETA</t>
  </si>
  <si>
    <t xml:space="preserve"> VICEDIRECTOR ESCUELA DIFERENCIADA JORNADA COMPLETA</t>
  </si>
  <si>
    <t xml:space="preserve"> SECRETARIO ESCUELA DIFERENCIADA</t>
  </si>
  <si>
    <t xml:space="preserve"> MAESTRO ESPECIAL DE TALLER</t>
  </si>
  <si>
    <t xml:space="preserve"> MAESTRO ESPECIAL DE TALLER ANEXO ALBERGUE</t>
  </si>
  <si>
    <t xml:space="preserve"> DIRECTOR NIVEL INICIAL 3ERA CATEGORIA</t>
  </si>
  <si>
    <t xml:space="preserve"> CAPACITADORES CENTROS LABORALES   mecl</t>
  </si>
  <si>
    <t xml:space="preserve"> JEFE DPTO PEDAGOGICO Y SUPERVISION</t>
  </si>
  <si>
    <t>COORD. DPTAL. DE CENTROS P/ADULTOS</t>
  </si>
  <si>
    <t xml:space="preserve"> MAESTRO ESPECIAL EDUCACION MUSICAL ADULTOS</t>
  </si>
  <si>
    <t xml:space="preserve"> SECRETARIO DE SUPERVISION</t>
  </si>
  <si>
    <t xml:space="preserve"> ASESOR PSICOLOGIA EDUCATIVA</t>
  </si>
  <si>
    <t xml:space="preserve"> MAESTRO NIVELADOR</t>
  </si>
  <si>
    <t xml:space="preserve"> SUPERVISOR NIVEL INICIAL</t>
  </si>
  <si>
    <t xml:space="preserve"> SUPERVISOR BIBLIOTECAS ESCOLARES</t>
  </si>
  <si>
    <t xml:space="preserve"> SUPERVISOR TECNICO</t>
  </si>
  <si>
    <t xml:space="preserve"> DIRECTOR DPTO APLICACION</t>
  </si>
  <si>
    <t xml:space="preserve"> VICEDIRECTOR DPTO APLICACION DE 2DA CATEGORIA </t>
  </si>
  <si>
    <t xml:space="preserve"> SECRETARIO DPTO APLICACION</t>
  </si>
  <si>
    <t xml:space="preserve"> MAESTRO DPTO APLICACION</t>
  </si>
  <si>
    <t xml:space="preserve"> MAESTRO MATERIAS ESPECIALES DPTO APLICACION</t>
  </si>
  <si>
    <t xml:space="preserve"> DIRECTOR 1ERA CATEGORIA JORNADA COMPLETA</t>
  </si>
  <si>
    <t xml:space="preserve"> DIRECTOR 2DA CATEGORIA JORNADA COMPLETA</t>
  </si>
  <si>
    <t xml:space="preserve"> DIRECTOR 3ERA CATEGORIA JORNADA COMPLETA</t>
  </si>
  <si>
    <t xml:space="preserve"> DIRECTOR 4TA CATEGORIA JORNADA COMPLETA</t>
  </si>
  <si>
    <t xml:space="preserve"> VICEDIRECTOR 2DA CATEGORIA JORNADA COMPLETA</t>
  </si>
  <si>
    <t xml:space="preserve"> MAESTRO DE GRADO JORNADA COMPLETA</t>
  </si>
  <si>
    <t xml:space="preserve"> MAESTRO ESPECIAL DE ACT. PRACTICAS JORN. COMPLETA</t>
  </si>
  <si>
    <t xml:space="preserve"> MAESTRO JARDIN DE INFANTES JORNADA COMPLETA</t>
  </si>
  <si>
    <t xml:space="preserve"> VICEDIRECTOR NIVEL INICIAL 2DA CATEGORIA</t>
  </si>
  <si>
    <t xml:space="preserve"> DIRECTOR 2DA ANEXO ALBERGUE</t>
  </si>
  <si>
    <t xml:space="preserve"> MAESTRO DE GRADO ANEXO ALBERGUE</t>
  </si>
  <si>
    <t xml:space="preserve"> MAESTRO ESP. ACTIV. PRACTICAS ANEXO ALBERGUE</t>
  </si>
  <si>
    <t xml:space="preserve"> DIRECTOR 3ERA CATEGORIA ANEXO ALBERGUE</t>
  </si>
  <si>
    <t xml:space="preserve"> DIRECTOR 4TA CATEGORIA ANEXO ALBERGUE</t>
  </si>
  <si>
    <t xml:space="preserve"> CELADOR ANEXO ALBERGUE</t>
  </si>
  <si>
    <t xml:space="preserve"> VICEDIRECTOR 1ERA CATEGORIA JORNADA COMPLETA</t>
  </si>
  <si>
    <t xml:space="preserve"> SECRETARIO 1ERA CATEGORIA JORNADA COMPLETA</t>
  </si>
  <si>
    <t xml:space="preserve"> SECRETARIO 2DA CATEGORIA JORNADA COMPLETA</t>
  </si>
  <si>
    <t xml:space="preserve"> SECRETARIO 3ERA CATEGORIA JORNADA COMPLETA</t>
  </si>
  <si>
    <t xml:space="preserve"> COORDINADOR PROVINCIAL DEL PROGRAMA</t>
  </si>
  <si>
    <t xml:space="preserve"> TECNICO DEL PROGRAMA 35 HS</t>
  </si>
  <si>
    <t xml:space="preserve"> TECNICO DOCENTE 20 HS</t>
  </si>
  <si>
    <t xml:space="preserve"> RESPONSABLE ZONAL O SECTORIAL</t>
  </si>
  <si>
    <t xml:space="preserve"> EDUCADOR DE ADULTOS</t>
  </si>
  <si>
    <t xml:space="preserve"> COORDINADOR ZONAL EDUCACION ADULTOS</t>
  </si>
  <si>
    <t xml:space="preserve"> MAESTRO ESPECIAL EDUCACION MUSICAL JORNADA COMPLETA</t>
  </si>
  <si>
    <t xml:space="preserve"> MAESTRO ESPECIAL EDUCACION FISICA JORN. COMPLETA</t>
  </si>
  <si>
    <t xml:space="preserve"> MAESTRO ESPECIAL JORNADA SIMPLE SIN PROLONGACION DE JORNADA</t>
  </si>
  <si>
    <t xml:space="preserve"> MAESTRO ESPECIAL EDUCACION MUSICAL ANEXO ALBERGUE</t>
  </si>
  <si>
    <t xml:space="preserve"> MAESTRO ESPECIAL EDUCACION FISICA ANEXO ALBERGUE</t>
  </si>
  <si>
    <t xml:space="preserve"> MAESTRO ESPECIAL DE TALLER JORNADA COMPLETA</t>
  </si>
  <si>
    <t xml:space="preserve"> MAESTRO ESPECIAL TECNICO AGROPECUARIO JORN. COMPLETA</t>
  </si>
  <si>
    <t xml:space="preserve"> DIRECTOR PERSONAL UNICO</t>
  </si>
  <si>
    <t xml:space="preserve"> SECRETARIO ESCUELA 3ERA CATEGORIA</t>
  </si>
  <si>
    <t xml:space="preserve"> COORDINADOR CENTRO COMUNITARIO</t>
  </si>
  <si>
    <t xml:space="preserve"> MAESTRO GRADO EGB3 (PRIMARIA)</t>
  </si>
  <si>
    <t xml:space="preserve"> JEFE DPTO PEDAGOGICO Y DE SUPERVISION</t>
  </si>
  <si>
    <t xml:space="preserve"> SUPERVISOR INSTITUTO SUPERIOR</t>
  </si>
  <si>
    <t xml:space="preserve"> SUPERVISOR ENSE¥ANZA ESPECIAL</t>
  </si>
  <si>
    <t xml:space="preserve"> SUPERVISOR ENSE¥ANZA PRIMARIA</t>
  </si>
  <si>
    <t xml:space="preserve"> VICERECTOR INSTITUTO SUPERIOR</t>
  </si>
  <si>
    <t xml:space="preserve"> SECRETARIO TECNICO DPTO. PEDAGOGICO</t>
  </si>
  <si>
    <t xml:space="preserve"> DIRECTOR PRIMERA CATEGORIA</t>
  </si>
  <si>
    <t xml:space="preserve"> DIRECTOR SEGUNDA CATEGORIA</t>
  </si>
  <si>
    <t xml:space="preserve"> DIRECTOR TERCERA CATEGORIA</t>
  </si>
  <si>
    <t xml:space="preserve"> DIRECTOR CUARTA CATEGORIA</t>
  </si>
  <si>
    <t xml:space="preserve"> DIRECTOR ESC. NIVEL INICIAL 2DA CATEGORIA</t>
  </si>
  <si>
    <t xml:space="preserve"> VICEDIRECTOR ESC. PRIMARIA 1ERA CATEGORIA</t>
  </si>
  <si>
    <t xml:space="preserve"> VICEDIRECTOR ESC. PRIMARIA 2DA CATEGORIA</t>
  </si>
  <si>
    <t xml:space="preserve"> VICEDIRECTOR ESC. EDUCACION ESPECIAL</t>
  </si>
  <si>
    <t xml:space="preserve"> SECRETARIO ESC. 2DA CATEGORIA</t>
  </si>
  <si>
    <t xml:space="preserve"> MAESTRO DE GRADO ESC. PRIMARIA</t>
  </si>
  <si>
    <t xml:space="preserve"> MAESTRO DE JARDIN DE INFANTES</t>
  </si>
  <si>
    <t xml:space="preserve"> MAESTRO DE GRUPO ESC. DIFERENCIADA</t>
  </si>
  <si>
    <t xml:space="preserve"> MAESTRO DE GRADO ADULTOS</t>
  </si>
  <si>
    <t xml:space="preserve"> MAESTRO DE EDUCACION FISICA</t>
  </si>
  <si>
    <t xml:space="preserve"> MAESTRO MATERIAS ESPECIALES</t>
  </si>
  <si>
    <t xml:space="preserve"> MAESTRO MATERIAS ESPECIALES ESC. DIFERENCIADA</t>
  </si>
  <si>
    <t xml:space="preserve"> PRECEPTOR ESC. DIFERENCIADA</t>
  </si>
  <si>
    <t xml:space="preserve"> DIRECTOR ESCUELA CAPACITACION TECNICA 4TA CATEGORIA</t>
  </si>
  <si>
    <t xml:space="preserve"> MAESTRO ESC. CAPACITACION TECNICA</t>
  </si>
  <si>
    <t xml:space="preserve"> RECTOR INSTITUTO SUPERIOR</t>
  </si>
  <si>
    <t xml:space="preserve"> SECRETARIO INSTITUTO SUPERIOR</t>
  </si>
  <si>
    <t xml:space="preserve"> BIBLIOTECARIO INSTITUTO SUPERIOR</t>
  </si>
  <si>
    <t xml:space="preserve"> PRECEPTOR INSTITUTO SUPERIOR</t>
  </si>
  <si>
    <t xml:space="preserve"> BEDEL</t>
  </si>
  <si>
    <t>PRECEPTOR INSTITUTO SUPERIOR - PRIVADA</t>
  </si>
  <si>
    <t xml:space="preserve"> DIRECTOR ESC. CAPACITACION TECNICA 3ERA CATEGORIA</t>
  </si>
  <si>
    <t xml:space="preserve"> DIRECTOR ESC. CAPACITACION TECNICA 1ERA CATEGORIA</t>
  </si>
  <si>
    <t xml:space="preserve"> DIRECTOR ESC. CAPACITACION TECNICA 2DA CATEGORIA</t>
  </si>
  <si>
    <t xml:space="preserve"> SECRETARIO ESC. PRIMARIA 1ERA CATEGORIA</t>
  </si>
  <si>
    <t xml:space="preserve"> DIRECTOR ESC. 2DA CATEGORIA JORNADA COMPLETA</t>
  </si>
  <si>
    <t xml:space="preserve"> MAESTRO DE EDUCACION FISICA JORNADA COMPLETA</t>
  </si>
  <si>
    <t xml:space="preserve"> MAESTRO DE ACTIVIDADES PRACTICAS JORNADA COMPLETA</t>
  </si>
  <si>
    <t xml:space="preserve"> MAESTRO DE EDUCACION MUSICAL JORNADA COMPLETA</t>
  </si>
  <si>
    <t xml:space="preserve"> VICEDIRECTOR ESC. 2DA CATEGORIA JORNADA COMPLETA</t>
  </si>
  <si>
    <t xml:space="preserve"> DIRECTOR ESC. 3ERA CAT. JORNADA COMPLETA</t>
  </si>
  <si>
    <t xml:space="preserve"> VICEDIRECTOR ESC. TECNICA 1ERA CATEGORIA</t>
  </si>
  <si>
    <t xml:space="preserve"> SECRETARIO DOCENTE PRIVADA</t>
  </si>
  <si>
    <t xml:space="preserve"> DIRECTOR ESCUELA ENFERMERIA</t>
  </si>
  <si>
    <t xml:space="preserve"> JEFE DOCENTE ESCUELA ENFERMERIA</t>
  </si>
  <si>
    <t xml:space="preserve"> SECRETARIO DOCENTE ESCUELA ENFERMERIA</t>
  </si>
  <si>
    <t xml:space="preserve"> SECRETARIO ADMINISTRATIVO ESCUELA ENFERMERIA</t>
  </si>
  <si>
    <t xml:space="preserve"> INSTRUCTOR INSTITUTO SUPERIOR</t>
  </si>
  <si>
    <t xml:space="preserve"> SECRETARIO DOCENTE SUPERIOR</t>
  </si>
  <si>
    <t xml:space="preserve"> SECRETARIO ACADEMICO</t>
  </si>
  <si>
    <t xml:space="preserve"> JEFE LABORATORIO COMPUTACION</t>
  </si>
  <si>
    <t xml:space="preserve"> MAESTRO ESCUELA ESPECIAL</t>
  </si>
  <si>
    <t xml:space="preserve"> PRECEPTOR GUIA INTERNADO INSTITUTO SUPERIOR</t>
  </si>
  <si>
    <t xml:space="preserve"> SECRETARIO ESCUELA ESPECIAL</t>
  </si>
  <si>
    <t xml:space="preserve"> DIRECTOR ESC. NIVEL INICIAL 3era CATEGORIA</t>
  </si>
  <si>
    <t xml:space="preserve"> DIRECTOR ESC. NIVEL INICIAL 4ta CATEGORIA</t>
  </si>
  <si>
    <t xml:space="preserve"> KINESIOLOGO</t>
  </si>
  <si>
    <t xml:space="preserve"> MAESTRO ORIENTADOR</t>
  </si>
  <si>
    <t xml:space="preserve"> MAESTRO DE EDUCACION MUSICAL</t>
  </si>
  <si>
    <t xml:space="preserve"> MAESTRO DE ACTIVIDADES PRACTICAS</t>
  </si>
  <si>
    <t xml:space="preserve"> DIRECTOR DPTO APLICACIÓN L. V.</t>
  </si>
  <si>
    <t xml:space="preserve"> SUBDIRECTOR DPTO APLICACION L.V.</t>
  </si>
  <si>
    <t xml:space="preserve"> JEFE DPTO EDUCACION FISICA</t>
  </si>
  <si>
    <t xml:space="preserve"> DIRECTOR JARDIN DE INFANTES</t>
  </si>
  <si>
    <t xml:space="preserve"> SUBDIRECTOR JARDIN DE INFANTES</t>
  </si>
  <si>
    <t xml:space="preserve"> MAESTRO DE GRADO L.V.</t>
  </si>
  <si>
    <t xml:space="preserve"> MAESTRO ESP DPTO APLICACION L.V.</t>
  </si>
  <si>
    <t xml:space="preserve"> ANALISTA TECNICO</t>
  </si>
  <si>
    <t xml:space="preserve"> MAESTRO ESPECIAL JARDIN DEINFANTES</t>
  </si>
  <si>
    <t xml:space="preserve"> DIRECTOR/RECTOR 1§ - 2 TURNOS</t>
  </si>
  <si>
    <t xml:space="preserve"> DIRECTOR/RECTOR 1§ - 3 TURNOS</t>
  </si>
  <si>
    <t xml:space="preserve"> VICEDIRECTOR 1RA Y 2DA</t>
  </si>
  <si>
    <t xml:space="preserve"> REGENTE</t>
  </si>
  <si>
    <t xml:space="preserve"> VICERECTOR CURSO PROF.</t>
  </si>
  <si>
    <t xml:space="preserve"> RECTOR CURSO PROF.</t>
  </si>
  <si>
    <t xml:space="preserve"> SECRETARIO NIVEL SUPERIOR</t>
  </si>
  <si>
    <t xml:space="preserve"> PROSECRETARIO NIVEL SUPERIOR</t>
  </si>
  <si>
    <t xml:space="preserve"> JEFE TRABAJOS PRACTICOS</t>
  </si>
  <si>
    <t xml:space="preserve"> DIRECTOR</t>
  </si>
  <si>
    <t xml:space="preserve"> ANALISTA PRINC TEC DOC</t>
  </si>
  <si>
    <t>SUPERVISOR DE INSTITUTO SUPERIOR</t>
  </si>
  <si>
    <t/>
  </si>
  <si>
    <t>PUNTOS basicos</t>
  </si>
  <si>
    <t xml:space="preserve"> tarea DIFER.</t>
  </si>
  <si>
    <t>Prol JORN</t>
  </si>
  <si>
    <t>jorn Compl</t>
  </si>
  <si>
    <t>Traslado cod 188</t>
  </si>
  <si>
    <t>Función diferencial</t>
  </si>
  <si>
    <t>prolong. Jorn - Docente</t>
  </si>
  <si>
    <t>Federación de  jubil</t>
  </si>
  <si>
    <t>Dto. 1109/05(cod06act)</t>
  </si>
  <si>
    <t>Jubilado - CARGOS</t>
  </si>
  <si>
    <t>cargos</t>
  </si>
  <si>
    <t xml:space="preserve">Deben seleccionar el número de cargo o  el número de horas que aparecen en rojo, </t>
  </si>
  <si>
    <t>todo lo demás aparece automáticamente</t>
  </si>
  <si>
    <t>Si no conocen el número de cargo, lo pueden buscar en la hoja "cargos", seleccionando la pestaña</t>
  </si>
  <si>
    <t xml:space="preserve">que aparece en la parte inferior de la pantalla o presionando al final de este párrafo, y buscar su </t>
  </si>
  <si>
    <t>número para luego ingresarlo en el lugar especificado.</t>
  </si>
  <si>
    <t>Cargos</t>
  </si>
  <si>
    <t xml:space="preserve">Meses trabajados en el cargo en los últimos 10 años: </t>
  </si>
  <si>
    <t>Si trabajaron en los últimos 10 años en diferentes cargos, se deberá calcular en forma fraccionada,</t>
  </si>
  <si>
    <t>aunque es un solo recibo, aparecen los haberes en forma fraccionada y los descuentos juntos, por</t>
  </si>
  <si>
    <t xml:space="preserve">lo que se deberán sumar con calculadora. Para que funcione el fraccionamiento se deberá </t>
  </si>
  <si>
    <r>
      <t xml:space="preserve">completar la cantidad de meses en cada cargo en el lugar señalado, donde aparece un </t>
    </r>
    <r>
      <rPr>
        <b/>
        <sz val="11"/>
        <color indexed="10"/>
        <rFont val="Arial"/>
        <family val="2"/>
      </rPr>
      <t>120</t>
    </r>
    <r>
      <rPr>
        <sz val="11"/>
        <rFont val="Arial"/>
        <family val="2"/>
      </rPr>
      <t xml:space="preserve"> en rojo,</t>
    </r>
  </si>
  <si>
    <r>
      <t xml:space="preserve">de no ser necesario el fraccionamiento, mantener el </t>
    </r>
    <r>
      <rPr>
        <b/>
        <sz val="11"/>
        <color indexed="10"/>
        <rFont val="Arial"/>
        <family val="2"/>
      </rPr>
      <t>120</t>
    </r>
  </si>
  <si>
    <t>Miembro de comisión de salario AGMER</t>
  </si>
  <si>
    <t>www.agmeruruguay.com.ar</t>
  </si>
  <si>
    <t>Otros</t>
  </si>
  <si>
    <t>Listado Cargos</t>
  </si>
  <si>
    <t>Dto. 1109/05 (cod 06 act)</t>
  </si>
  <si>
    <t>Fracción</t>
  </si>
  <si>
    <t>Bon zona esc</t>
  </si>
  <si>
    <t>Zona</t>
  </si>
  <si>
    <t>Tabla a la</t>
  </si>
  <si>
    <t>derecha</t>
  </si>
  <si>
    <t>porc rem cod 17</t>
  </si>
  <si>
    <t>porc rem y bon cod 17</t>
  </si>
  <si>
    <t>el comentario aparece al posicionar el cursor sobre la celda.</t>
  </si>
  <si>
    <t xml:space="preserve">Leer los comentarios en las celdas que tengan una puntita roja en el ángulo superior derecho, </t>
  </si>
  <si>
    <t>salminimofeb07</t>
  </si>
  <si>
    <t>Min jor simple</t>
  </si>
  <si>
    <t>salminjorcom</t>
  </si>
  <si>
    <t>Códigos nivel medio prop 8 feb/07</t>
  </si>
  <si>
    <t>cod38medfeb07</t>
  </si>
  <si>
    <t>cod22medfeb07</t>
  </si>
  <si>
    <t>cod06medfeb07</t>
  </si>
  <si>
    <t>cod17medfeb07</t>
  </si>
  <si>
    <t>Códigos nivel Superior 24 feb/06</t>
  </si>
  <si>
    <t>cod38supfeb07</t>
  </si>
  <si>
    <t>cod22supfeb07</t>
  </si>
  <si>
    <t>cod06supfeb07</t>
  </si>
  <si>
    <t>cod17supfeb07</t>
  </si>
  <si>
    <t>sobre los haberes de los jubilados docentes</t>
  </si>
  <si>
    <t>www.celestecompromiso.com.ar</t>
  </si>
  <si>
    <r>
      <t>Si encuentran errores, por favor avísenme.</t>
    </r>
    <r>
      <rPr>
        <sz val="11"/>
        <color indexed="17"/>
        <rFont val="Arial"/>
        <family val="2"/>
      </rPr>
      <t>victorhutt@victorhutt.com.ar</t>
    </r>
  </si>
  <si>
    <t>victorhutt@victorhutt.com.ar</t>
  </si>
  <si>
    <t>Simulador para calcular el sueldo de un jubilado que se desempeñó en varios cargos</t>
  </si>
  <si>
    <t>Recibo final</t>
  </si>
  <si>
    <t>Control 120 meses:</t>
  </si>
  <si>
    <t>Deben sumar 120 meses</t>
  </si>
  <si>
    <t>indiceago07</t>
  </si>
  <si>
    <t>proljorago07</t>
  </si>
  <si>
    <t>cod06medago07</t>
  </si>
  <si>
    <t>cod06supago07</t>
  </si>
  <si>
    <t>cod06ago07</t>
  </si>
  <si>
    <t>Aumento</t>
  </si>
  <si>
    <t>Porcentual</t>
  </si>
  <si>
    <t>proljorsep07</t>
  </si>
  <si>
    <t>cod06sep07</t>
  </si>
  <si>
    <t>indicesept07</t>
  </si>
  <si>
    <t>cod06medsep07</t>
  </si>
  <si>
    <t>cod06supsep07</t>
  </si>
  <si>
    <t>A cobrar 30 o 60 días después que los activos</t>
  </si>
  <si>
    <r>
      <t xml:space="preserve">Jubilado - CARGOS - </t>
    </r>
    <r>
      <rPr>
        <b/>
        <u val="single"/>
        <sz val="16"/>
        <color indexed="10"/>
        <rFont val="Arial"/>
        <family val="2"/>
      </rPr>
      <t>primer cargo</t>
    </r>
  </si>
  <si>
    <r>
      <t xml:space="preserve">Jubilado - CARGOS </t>
    </r>
    <r>
      <rPr>
        <b/>
        <u val="single"/>
        <sz val="16"/>
        <color indexed="12"/>
        <rFont val="Arial"/>
        <family val="2"/>
      </rPr>
      <t>segundo cargo</t>
    </r>
  </si>
  <si>
    <r>
      <t xml:space="preserve">Jubilado - CARGOS - </t>
    </r>
    <r>
      <rPr>
        <b/>
        <u val="single"/>
        <sz val="16"/>
        <color indexed="17"/>
        <rFont val="Arial"/>
        <family val="2"/>
      </rPr>
      <t>tercer cargo</t>
    </r>
  </si>
  <si>
    <r>
      <t xml:space="preserve">Jubilado - CARGOS - </t>
    </r>
    <r>
      <rPr>
        <b/>
        <u val="single"/>
        <sz val="16"/>
        <color indexed="16"/>
        <rFont val="Arial"/>
        <family val="2"/>
      </rPr>
      <t>cuarto cargo</t>
    </r>
  </si>
  <si>
    <t>1º Cargo</t>
  </si>
  <si>
    <t>2º Cargo</t>
  </si>
  <si>
    <t>3º cargo</t>
  </si>
  <si>
    <t>4º cargo</t>
  </si>
  <si>
    <t>Final</t>
  </si>
  <si>
    <t>cod06sep07varios1</t>
  </si>
  <si>
    <t>Aumento Septiembre</t>
  </si>
  <si>
    <t>Puntos Comp basico</t>
  </si>
  <si>
    <t>hasta 971</t>
  </si>
  <si>
    <t>972&lt;pi&lt;= 1169</t>
  </si>
  <si>
    <t>1170&lt;pi&lt;1400</t>
  </si>
  <si>
    <t>1401&lt;pi&lt;1942</t>
  </si>
  <si>
    <t>1943&lt;pi&lt;=2220</t>
  </si>
  <si>
    <t>pi&gt;2220</t>
  </si>
  <si>
    <t>pijc&gt;=620    971</t>
  </si>
  <si>
    <t>JC &gt; 971</t>
  </si>
  <si>
    <t>JC defint</t>
  </si>
  <si>
    <t>indicemar08</t>
  </si>
  <si>
    <t>proljormar08</t>
  </si>
  <si>
    <t>indicejul08</t>
  </si>
  <si>
    <t>proljorjul08</t>
  </si>
  <si>
    <t>Comp Básico</t>
  </si>
  <si>
    <t>otro Código</t>
  </si>
  <si>
    <t>Complemento de básico</t>
  </si>
  <si>
    <t>Salario septiembre 2007</t>
  </si>
  <si>
    <t>Salario Marzo 2008</t>
  </si>
  <si>
    <t>Salario Mayo ?? 2008</t>
  </si>
  <si>
    <t>Aumento Acumulado</t>
  </si>
  <si>
    <t>Porc Acumulado</t>
  </si>
  <si>
    <t>Diferencia</t>
  </si>
  <si>
    <t>Diferencia Acumulada</t>
  </si>
  <si>
    <t>Salario Mayo?? 2008</t>
  </si>
  <si>
    <t>Salario Marzo 2.008</t>
  </si>
  <si>
    <t>Hoja de cálculo  para evaluar la incidencia del</t>
  </si>
  <si>
    <t>aumento de Marzo y Julio de 2.008</t>
  </si>
  <si>
    <t>Está hecho en base a los valores de los aumentos de marzo y julio de 2,008</t>
  </si>
  <si>
    <t>Salario septiembre 2007 a feb 2.008</t>
  </si>
  <si>
    <t>Nuevo Código</t>
  </si>
  <si>
    <t>cod06sep07varios2</t>
  </si>
  <si>
    <t>cod06sep07varios3</t>
  </si>
  <si>
    <t>cod06sep07varios4</t>
  </si>
  <si>
    <t>Aumento Feb a Jul</t>
  </si>
  <si>
    <t>Porcentaje Feb a Jul</t>
  </si>
  <si>
    <t>Aumento Julio</t>
  </si>
  <si>
    <t>Porcentaje Julio</t>
  </si>
  <si>
    <t>Aumento Marzo</t>
  </si>
  <si>
    <t>Porcentaje Marzo</t>
  </si>
  <si>
    <t>Salario Julio 2.008</t>
  </si>
  <si>
    <t>Puntos  prol jornada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</si>
</sst>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%"/>
    <numFmt numFmtId="173" formatCode="&quot;$&quot;#,##0.00;\-&quot;$&quot;#,##0.00"/>
    <numFmt numFmtId="174" formatCode="0.000"/>
    <numFmt numFmtId="175" formatCode="#,##0.00\ _€"/>
    <numFmt numFmtId="176" formatCode="0.0"/>
    <numFmt numFmtId="177" formatCode="0.000000"/>
    <numFmt numFmtId="178" formatCode="0.00000"/>
    <numFmt numFmtId="179" formatCode="0.0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#,##0\ &quot;€&quot;"/>
    <numFmt numFmtId="184" formatCode="[$$-2C0A]\ #,##0"/>
    <numFmt numFmtId="185" formatCode="0.0000000"/>
  </numFmts>
  <fonts count="72">
    <font>
      <sz val="10"/>
      <name val="Arial"/>
      <family val="0"/>
    </font>
    <font>
      <sz val="10"/>
      <color indexed="17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4"/>
      <name val="Arial"/>
      <family val="2"/>
    </font>
    <font>
      <b/>
      <u val="single"/>
      <sz val="10"/>
      <name val="Arial"/>
      <family val="2"/>
    </font>
    <font>
      <b/>
      <u val="single"/>
      <sz val="12"/>
      <color indexed="12"/>
      <name val="Arial"/>
      <family val="2"/>
    </font>
    <font>
      <b/>
      <sz val="16"/>
      <color indexed="10"/>
      <name val="Arial"/>
      <family val="2"/>
    </font>
    <font>
      <b/>
      <sz val="18"/>
      <color indexed="13"/>
      <name val="Arial"/>
      <family val="2"/>
    </font>
    <font>
      <b/>
      <sz val="18"/>
      <color indexed="9"/>
      <name val="Arial"/>
      <family val="2"/>
    </font>
    <font>
      <b/>
      <sz val="16"/>
      <color indexed="20"/>
      <name val="Arial"/>
      <family val="2"/>
    </font>
    <font>
      <b/>
      <u val="single"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53"/>
      <name val="Arial"/>
      <family val="2"/>
    </font>
    <font>
      <sz val="11"/>
      <color indexed="17"/>
      <name val="Arial"/>
      <family val="2"/>
    </font>
    <font>
      <sz val="10"/>
      <color indexed="8"/>
      <name val="Arial"/>
      <family val="2"/>
    </font>
    <font>
      <b/>
      <u val="single"/>
      <sz val="16"/>
      <color indexed="18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u val="single"/>
      <sz val="14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10"/>
      <color indexed="18"/>
      <name val="Arial"/>
      <family val="2"/>
    </font>
    <font>
      <b/>
      <u val="single"/>
      <sz val="10"/>
      <color indexed="18"/>
      <name val="Arial"/>
      <family val="2"/>
    </font>
    <font>
      <b/>
      <sz val="14"/>
      <color indexed="53"/>
      <name val="Arial"/>
      <family val="2"/>
    </font>
    <font>
      <b/>
      <u val="single"/>
      <sz val="14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trike/>
      <sz val="10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u val="single"/>
      <sz val="10"/>
      <color indexed="12"/>
      <name val="Arial"/>
      <family val="2"/>
    </font>
    <font>
      <b/>
      <sz val="12"/>
      <color indexed="18"/>
      <name val="Arial"/>
      <family val="2"/>
    </font>
    <font>
      <sz val="10"/>
      <color indexed="55"/>
      <name val="Arial"/>
      <family val="0"/>
    </font>
    <font>
      <b/>
      <sz val="12"/>
      <color indexed="58"/>
      <name val="Arial"/>
      <family val="2"/>
    </font>
    <font>
      <u val="single"/>
      <sz val="12"/>
      <color indexed="18"/>
      <name val="Arial"/>
      <family val="2"/>
    </font>
    <font>
      <sz val="12"/>
      <color indexed="18"/>
      <name val="Arial"/>
      <family val="2"/>
    </font>
    <font>
      <u val="single"/>
      <sz val="12"/>
      <color indexed="12"/>
      <name val="Arial"/>
      <family val="2"/>
    </font>
    <font>
      <b/>
      <sz val="12"/>
      <color indexed="9"/>
      <name val="Arial"/>
      <family val="2"/>
    </font>
    <font>
      <b/>
      <sz val="11"/>
      <color indexed="12"/>
      <name val="Arial"/>
      <family val="2"/>
    </font>
    <font>
      <b/>
      <sz val="14"/>
      <color indexed="10"/>
      <name val="Arial"/>
      <family val="2"/>
    </font>
    <font>
      <sz val="16"/>
      <color indexed="10"/>
      <name val="Arial"/>
      <family val="2"/>
    </font>
    <font>
      <b/>
      <u val="single"/>
      <sz val="16"/>
      <color indexed="10"/>
      <name val="Arial"/>
      <family val="2"/>
    </font>
    <font>
      <sz val="10"/>
      <color indexed="18"/>
      <name val="Arial"/>
      <family val="2"/>
    </font>
    <font>
      <u val="single"/>
      <sz val="10"/>
      <color indexed="18"/>
      <name val="Arial"/>
      <family val="2"/>
    </font>
    <font>
      <b/>
      <sz val="14"/>
      <color indexed="9"/>
      <name val="Arial"/>
      <family val="2"/>
    </font>
    <font>
      <sz val="11"/>
      <color indexed="9"/>
      <name val="Arial"/>
      <family val="2"/>
    </font>
    <font>
      <b/>
      <u val="single"/>
      <sz val="16"/>
      <color indexed="12"/>
      <name val="Arial"/>
      <family val="2"/>
    </font>
    <font>
      <b/>
      <u val="single"/>
      <sz val="16"/>
      <color indexed="17"/>
      <name val="Arial"/>
      <family val="2"/>
    </font>
    <font>
      <b/>
      <u val="single"/>
      <sz val="16"/>
      <color indexed="16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9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4"/>
      <color indexed="18"/>
      <name val="Arial"/>
      <family val="2"/>
    </font>
    <font>
      <b/>
      <sz val="14"/>
      <color indexed="58"/>
      <name val="Arial"/>
      <family val="2"/>
    </font>
    <font>
      <b/>
      <sz val="14"/>
      <color indexed="12"/>
      <name val="Arial"/>
      <family val="2"/>
    </font>
    <font>
      <b/>
      <u val="single"/>
      <sz val="20"/>
      <color indexed="12"/>
      <name val="Arial"/>
      <family val="2"/>
    </font>
    <font>
      <b/>
      <sz val="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8"/>
        <bgColor indexed="64"/>
      </patternFill>
    </fill>
  </fills>
  <borders count="58">
    <border>
      <left/>
      <right/>
      <top/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>
        <color indexed="39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>
        <color indexed="11"/>
      </left>
      <right style="thick">
        <color indexed="11"/>
      </right>
      <top style="thick">
        <color indexed="11"/>
      </top>
      <bottom style="thick">
        <color indexed="11"/>
      </bottom>
    </border>
    <border>
      <left style="thick">
        <color indexed="39"/>
      </left>
      <right>
        <color indexed="63"/>
      </right>
      <top style="thick">
        <color indexed="39"/>
      </top>
      <bottom>
        <color indexed="63"/>
      </bottom>
    </border>
    <border>
      <left>
        <color indexed="63"/>
      </left>
      <right>
        <color indexed="63"/>
      </right>
      <top style="thick">
        <color indexed="39"/>
      </top>
      <bottom>
        <color indexed="63"/>
      </bottom>
    </border>
    <border>
      <left>
        <color indexed="63"/>
      </left>
      <right style="thick">
        <color indexed="39"/>
      </right>
      <top style="thick">
        <color indexed="39"/>
      </top>
      <bottom>
        <color indexed="63"/>
      </bottom>
    </border>
    <border>
      <left style="thick">
        <color indexed="39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ck">
        <color indexed="52"/>
      </left>
      <right style="thick">
        <color indexed="51"/>
      </right>
      <top style="thick">
        <color indexed="52"/>
      </top>
      <bottom style="thick">
        <color indexed="52"/>
      </bottom>
    </border>
    <border>
      <left style="thick">
        <color indexed="17"/>
      </left>
      <right>
        <color indexed="63"/>
      </right>
      <top style="thick">
        <color indexed="17"/>
      </top>
      <bottom style="thick">
        <color indexed="17"/>
      </bottom>
    </border>
    <border>
      <left>
        <color indexed="63"/>
      </left>
      <right>
        <color indexed="63"/>
      </right>
      <top style="thick">
        <color indexed="17"/>
      </top>
      <bottom style="thick">
        <color indexed="17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ck">
        <color indexed="17"/>
      </top>
      <bottom style="thick">
        <color indexed="17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thick">
        <color indexed="51"/>
      </left>
      <right style="thick">
        <color indexed="52"/>
      </right>
      <top style="thick">
        <color indexed="52"/>
      </top>
      <bottom style="thick">
        <color indexed="52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ck">
        <color indexed="39"/>
      </right>
      <top>
        <color indexed="63"/>
      </top>
      <bottom style="thick">
        <color indexed="39"/>
      </bottom>
    </border>
    <border>
      <left style="thick">
        <color indexed="39"/>
      </left>
      <right>
        <color indexed="63"/>
      </right>
      <top>
        <color indexed="63"/>
      </top>
      <bottom style="thick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13"/>
      </bottom>
    </border>
    <border>
      <left style="thick">
        <color indexed="12"/>
      </left>
      <right style="thick">
        <color indexed="12"/>
      </right>
      <top style="thick">
        <color indexed="12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ck">
        <color indexed="12"/>
      </left>
      <right style="thick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7">
    <xf numFmtId="0" fontId="0" fillId="0" borderId="0" xfId="0" applyAlignment="1">
      <alignment/>
    </xf>
    <xf numFmtId="2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2" fontId="0" fillId="0" borderId="0" xfId="0" applyNumberFormat="1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NumberFormat="1" applyBorder="1" applyAlignment="1" applyProtection="1">
      <alignment/>
      <protection/>
    </xf>
    <xf numFmtId="2" fontId="0" fillId="0" borderId="0" xfId="0" applyNumberFormat="1" applyBorder="1" applyAlignment="1" applyProtection="1">
      <alignment horizontal="right"/>
      <protection/>
    </xf>
    <xf numFmtId="2" fontId="2" fillId="0" borderId="0" xfId="0" applyNumberFormat="1" applyFont="1" applyBorder="1" applyAlignment="1" applyProtection="1">
      <alignment horizontal="left"/>
      <protection/>
    </xf>
    <xf numFmtId="2" fontId="3" fillId="0" borderId="0" xfId="0" applyNumberFormat="1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0" fillId="0" borderId="1" xfId="0" applyFont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0" fillId="0" borderId="2" xfId="0" applyFont="1" applyFill="1" applyBorder="1" applyAlignment="1" applyProtection="1">
      <alignment/>
      <protection/>
    </xf>
    <xf numFmtId="2" fontId="0" fillId="0" borderId="2" xfId="0" applyNumberFormat="1" applyBorder="1" applyAlignment="1" applyProtection="1">
      <alignment horizontal="right"/>
      <protection/>
    </xf>
    <xf numFmtId="0" fontId="0" fillId="0" borderId="2" xfId="0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29" fillId="0" borderId="0" xfId="0" applyFont="1" applyBorder="1" applyAlignment="1" applyProtection="1">
      <alignment horizontal="right"/>
      <protection hidden="1"/>
    </xf>
    <xf numFmtId="0" fontId="24" fillId="2" borderId="3" xfId="0" applyFont="1" applyFill="1" applyBorder="1" applyAlignment="1" applyProtection="1">
      <alignment/>
      <protection hidden="1"/>
    </xf>
    <xf numFmtId="0" fontId="2" fillId="0" borderId="4" xfId="0" applyFont="1" applyBorder="1" applyAlignment="1" applyProtection="1">
      <alignment/>
      <protection hidden="1"/>
    </xf>
    <xf numFmtId="0" fontId="2" fillId="0" borderId="5" xfId="0" applyFont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29" fillId="0" borderId="0" xfId="0" applyFont="1" applyAlignment="1" applyProtection="1">
      <alignment/>
      <protection hidden="1"/>
    </xf>
    <xf numFmtId="0" fontId="2" fillId="0" borderId="6" xfId="0" applyFont="1" applyBorder="1" applyAlignment="1" applyProtection="1">
      <alignment/>
      <protection hidden="1"/>
    </xf>
    <xf numFmtId="0" fontId="0" fillId="0" borderId="2" xfId="0" applyBorder="1" applyAlignment="1" applyProtection="1">
      <alignment/>
      <protection hidden="1"/>
    </xf>
    <xf numFmtId="0" fontId="30" fillId="0" borderId="2" xfId="0" applyFont="1" applyBorder="1" applyAlignment="1" applyProtection="1">
      <alignment/>
      <protection hidden="1"/>
    </xf>
    <xf numFmtId="0" fontId="0" fillId="0" borderId="7" xfId="0" applyBorder="1" applyAlignment="1" applyProtection="1">
      <alignment/>
      <protection hidden="1"/>
    </xf>
    <xf numFmtId="0" fontId="32" fillId="0" borderId="2" xfId="0" applyFont="1" applyBorder="1" applyAlignment="1" applyProtection="1">
      <alignment/>
      <protection hidden="1"/>
    </xf>
    <xf numFmtId="0" fontId="0" fillId="2" borderId="2" xfId="0" applyFill="1" applyBorder="1" applyAlignment="1" applyProtection="1">
      <alignment/>
      <protection hidden="1"/>
    </xf>
    <xf numFmtId="0" fontId="30" fillId="2" borderId="2" xfId="0" applyFont="1" applyFill="1" applyBorder="1" applyAlignment="1" applyProtection="1">
      <alignment/>
      <protection hidden="1"/>
    </xf>
    <xf numFmtId="0" fontId="0" fillId="2" borderId="7" xfId="0" applyFill="1" applyBorder="1" applyAlignment="1" applyProtection="1">
      <alignment/>
      <protection hidden="1"/>
    </xf>
    <xf numFmtId="0" fontId="22" fillId="0" borderId="2" xfId="0" applyFont="1" applyBorder="1" applyAlignment="1" applyProtection="1">
      <alignment/>
      <protection hidden="1"/>
    </xf>
    <xf numFmtId="0" fontId="31" fillId="0" borderId="2" xfId="0" applyFont="1" applyBorder="1" applyAlignment="1" applyProtection="1">
      <alignment/>
      <protection hidden="1"/>
    </xf>
    <xf numFmtId="0" fontId="22" fillId="0" borderId="7" xfId="0" applyFont="1" applyBorder="1" applyAlignment="1" applyProtection="1">
      <alignment/>
      <protection hidden="1"/>
    </xf>
    <xf numFmtId="0" fontId="2" fillId="0" borderId="2" xfId="0" applyFont="1" applyBorder="1" applyAlignment="1" applyProtection="1">
      <alignment/>
      <protection hidden="1"/>
    </xf>
    <xf numFmtId="0" fontId="29" fillId="0" borderId="2" xfId="0" applyFont="1" applyBorder="1" applyAlignment="1" applyProtection="1">
      <alignment/>
      <protection hidden="1"/>
    </xf>
    <xf numFmtId="0" fontId="2" fillId="0" borderId="7" xfId="0" applyFont="1" applyBorder="1" applyAlignment="1" applyProtection="1">
      <alignment/>
      <protection hidden="1"/>
    </xf>
    <xf numFmtId="0" fontId="0" fillId="0" borderId="8" xfId="0" applyBorder="1" applyAlignment="1" applyProtection="1">
      <alignment/>
      <protection hidden="1"/>
    </xf>
    <xf numFmtId="0" fontId="0" fillId="0" borderId="9" xfId="0" applyBorder="1" applyAlignment="1" applyProtection="1">
      <alignment/>
      <protection hidden="1"/>
    </xf>
    <xf numFmtId="0" fontId="0" fillId="0" borderId="10" xfId="0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2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horizontal="right"/>
      <protection/>
    </xf>
    <xf numFmtId="2" fontId="5" fillId="0" borderId="0" xfId="0" applyNumberFormat="1" applyFont="1" applyFill="1" applyBorder="1" applyAlignment="1" applyProtection="1">
      <alignment/>
      <protection/>
    </xf>
    <xf numFmtId="2" fontId="0" fillId="3" borderId="0" xfId="0" applyNumberFormat="1" applyFill="1" applyBorder="1" applyAlignment="1" applyProtection="1">
      <alignment/>
      <protection/>
    </xf>
    <xf numFmtId="175" fontId="22" fillId="0" borderId="4" xfId="19" applyNumberFormat="1" applyFont="1" applyBorder="1" applyAlignment="1" applyProtection="1">
      <alignment horizontal="right"/>
      <protection locked="0"/>
    </xf>
    <xf numFmtId="0" fontId="0" fillId="3" borderId="0" xfId="0" applyFill="1" applyBorder="1" applyAlignment="1" applyProtection="1">
      <alignment/>
      <protection/>
    </xf>
    <xf numFmtId="0" fontId="35" fillId="3" borderId="0" xfId="0" applyFont="1" applyFill="1" applyBorder="1" applyAlignment="1" applyProtection="1">
      <alignment/>
      <protection/>
    </xf>
    <xf numFmtId="0" fontId="35" fillId="3" borderId="11" xfId="0" applyFont="1" applyFill="1" applyBorder="1" applyAlignment="1" applyProtection="1">
      <alignment/>
      <protection/>
    </xf>
    <xf numFmtId="0" fontId="28" fillId="4" borderId="12" xfId="15" applyFont="1" applyFill="1" applyBorder="1" applyAlignment="1" applyProtection="1">
      <alignment/>
      <protection/>
    </xf>
    <xf numFmtId="0" fontId="37" fillId="2" borderId="3" xfId="0" applyFont="1" applyFill="1" applyBorder="1" applyAlignment="1" applyProtection="1">
      <alignment/>
      <protection/>
    </xf>
    <xf numFmtId="0" fontId="0" fillId="4" borderId="13" xfId="0" applyFill="1" applyBorder="1" applyAlignment="1" applyProtection="1">
      <alignment/>
      <protection/>
    </xf>
    <xf numFmtId="0" fontId="28" fillId="4" borderId="14" xfId="15" applyFont="1" applyFill="1" applyBorder="1" applyAlignment="1" applyProtection="1">
      <alignment/>
      <protection/>
    </xf>
    <xf numFmtId="0" fontId="0" fillId="4" borderId="15" xfId="0" applyFill="1" applyBorder="1" applyAlignment="1" applyProtection="1">
      <alignment/>
      <protection/>
    </xf>
    <xf numFmtId="0" fontId="38" fillId="4" borderId="16" xfId="15" applyFont="1" applyFill="1" applyBorder="1" applyAlignment="1" applyProtection="1">
      <alignment/>
      <protection/>
    </xf>
    <xf numFmtId="0" fontId="0" fillId="4" borderId="17" xfId="0" applyFill="1" applyBorder="1" applyAlignment="1" applyProtection="1">
      <alignment/>
      <protection/>
    </xf>
    <xf numFmtId="0" fontId="7" fillId="0" borderId="0" xfId="15" applyFont="1" applyFill="1" applyBorder="1" applyAlignment="1" applyProtection="1">
      <alignment/>
      <protection/>
    </xf>
    <xf numFmtId="0" fontId="0" fillId="5" borderId="0" xfId="0" applyFill="1" applyAlignment="1" applyProtection="1">
      <alignment/>
      <protection/>
    </xf>
    <xf numFmtId="0" fontId="0" fillId="6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8" fillId="0" borderId="18" xfId="0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9" fillId="6" borderId="0" xfId="0" applyFont="1" applyFill="1" applyBorder="1" applyAlignment="1" applyProtection="1">
      <alignment/>
      <protection/>
    </xf>
    <xf numFmtId="0" fontId="10" fillId="6" borderId="20" xfId="0" applyFont="1" applyFill="1" applyBorder="1" applyAlignment="1" applyProtection="1">
      <alignment/>
      <protection/>
    </xf>
    <xf numFmtId="0" fontId="11" fillId="2" borderId="0" xfId="0" applyFont="1" applyFill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12" fillId="5" borderId="0" xfId="0" applyFont="1" applyFill="1" applyBorder="1" applyAlignment="1" applyProtection="1">
      <alignment/>
      <protection/>
    </xf>
    <xf numFmtId="0" fontId="0" fillId="5" borderId="0" xfId="0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0" fontId="7" fillId="0" borderId="0" xfId="15" applyFont="1" applyFill="1" applyAlignment="1" applyProtection="1">
      <alignment/>
      <protection/>
    </xf>
    <xf numFmtId="0" fontId="35" fillId="3" borderId="21" xfId="0" applyFont="1" applyFill="1" applyBorder="1" applyAlignment="1" applyProtection="1">
      <alignment/>
      <protection/>
    </xf>
    <xf numFmtId="0" fontId="35" fillId="3" borderId="22" xfId="0" applyFont="1" applyFill="1" applyBorder="1" applyAlignment="1" applyProtection="1">
      <alignment/>
      <protection/>
    </xf>
    <xf numFmtId="0" fontId="35" fillId="3" borderId="23" xfId="0" applyFont="1" applyFill="1" applyBorder="1" applyAlignment="1" applyProtection="1">
      <alignment/>
      <protection/>
    </xf>
    <xf numFmtId="0" fontId="35" fillId="3" borderId="24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 horizontal="right"/>
      <protection/>
    </xf>
    <xf numFmtId="2" fontId="18" fillId="0" borderId="2" xfId="0" applyNumberFormat="1" applyFont="1" applyFill="1" applyBorder="1" applyAlignment="1" applyProtection="1">
      <alignment horizontal="right"/>
      <protection/>
    </xf>
    <xf numFmtId="2" fontId="18" fillId="0" borderId="0" xfId="0" applyNumberFormat="1" applyFont="1" applyFill="1" applyBorder="1" applyAlignment="1" applyProtection="1">
      <alignment horizontal="right"/>
      <protection/>
    </xf>
    <xf numFmtId="0" fontId="36" fillId="3" borderId="24" xfId="15" applyFont="1" applyFill="1" applyBorder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2" fillId="0" borderId="4" xfId="0" applyFont="1" applyBorder="1" applyAlignment="1" applyProtection="1">
      <alignment/>
      <protection/>
    </xf>
    <xf numFmtId="0" fontId="29" fillId="0" borderId="25" xfId="0" applyFont="1" applyBorder="1" applyAlignment="1" applyProtection="1">
      <alignment/>
      <protection/>
    </xf>
    <xf numFmtId="0" fontId="2" fillId="0" borderId="26" xfId="0" applyFon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2" fontId="3" fillId="0" borderId="1" xfId="0" applyNumberFormat="1" applyFont="1" applyBorder="1" applyAlignment="1" applyProtection="1">
      <alignment horizontal="center"/>
      <protection/>
    </xf>
    <xf numFmtId="1" fontId="0" fillId="0" borderId="0" xfId="0" applyNumberFormat="1" applyAlignment="1" applyProtection="1">
      <alignment/>
      <protection/>
    </xf>
    <xf numFmtId="9" fontId="0" fillId="0" borderId="0" xfId="21" applyAlignment="1" applyProtection="1">
      <alignment/>
      <protection/>
    </xf>
    <xf numFmtId="0" fontId="21" fillId="0" borderId="27" xfId="0" applyFont="1" applyBorder="1" applyAlignment="1" applyProtection="1">
      <alignment/>
      <protection/>
    </xf>
    <xf numFmtId="1" fontId="21" fillId="0" borderId="27" xfId="0" applyNumberFormat="1" applyFont="1" applyBorder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2" fontId="0" fillId="0" borderId="2" xfId="0" applyNumberFormat="1" applyBorder="1" applyAlignment="1" applyProtection="1">
      <alignment horizontal="left"/>
      <protection/>
    </xf>
    <xf numFmtId="0" fontId="30" fillId="0" borderId="2" xfId="0" applyFont="1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2" fillId="0" borderId="18" xfId="0" applyFont="1" applyBorder="1" applyAlignment="1" applyProtection="1">
      <alignment/>
      <protection/>
    </xf>
    <xf numFmtId="2" fontId="3" fillId="0" borderId="19" xfId="0" applyNumberFormat="1" applyFont="1" applyBorder="1" applyAlignment="1" applyProtection="1">
      <alignment horizontal="center"/>
      <protection/>
    </xf>
    <xf numFmtId="9" fontId="0" fillId="0" borderId="6" xfId="0" applyNumberFormat="1" applyBorder="1" applyAlignment="1" applyProtection="1">
      <alignment/>
      <protection/>
    </xf>
    <xf numFmtId="2" fontId="0" fillId="0" borderId="6" xfId="0" applyNumberFormat="1" applyBorder="1" applyAlignment="1" applyProtection="1">
      <alignment horizontal="right"/>
      <protection/>
    </xf>
    <xf numFmtId="0" fontId="0" fillId="0" borderId="2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  <xf numFmtId="0" fontId="0" fillId="0" borderId="28" xfId="0" applyFill="1" applyBorder="1" applyAlignment="1" applyProtection="1">
      <alignment/>
      <protection/>
    </xf>
    <xf numFmtId="0" fontId="2" fillId="0" borderId="2" xfId="0" applyFont="1" applyFill="1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2" fontId="2" fillId="0" borderId="5" xfId="0" applyNumberFormat="1" applyFont="1" applyBorder="1" applyAlignment="1" applyProtection="1">
      <alignment horizontal="left"/>
      <protection/>
    </xf>
    <xf numFmtId="0" fontId="0" fillId="0" borderId="28" xfId="0" applyBorder="1" applyAlignment="1" applyProtection="1">
      <alignment horizontal="right"/>
      <protection/>
    </xf>
    <xf numFmtId="172" fontId="2" fillId="0" borderId="18" xfId="0" applyNumberFormat="1" applyFont="1" applyBorder="1" applyAlignment="1" applyProtection="1">
      <alignment/>
      <protection/>
    </xf>
    <xf numFmtId="2" fontId="34" fillId="0" borderId="19" xfId="0" applyNumberFormat="1" applyFont="1" applyBorder="1" applyAlignment="1" applyProtection="1">
      <alignment horizontal="center"/>
      <protection/>
    </xf>
    <xf numFmtId="0" fontId="0" fillId="3" borderId="0" xfId="0" applyFill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27" fillId="0" borderId="0" xfId="0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/>
    </xf>
    <xf numFmtId="0" fontId="5" fillId="0" borderId="27" xfId="0" applyFont="1" applyBorder="1" applyAlignment="1" applyProtection="1">
      <alignment/>
      <protection/>
    </xf>
    <xf numFmtId="9" fontId="2" fillId="0" borderId="0" xfId="0" applyNumberFormat="1" applyFont="1" applyFill="1" applyBorder="1" applyAlignment="1" applyProtection="1">
      <alignment/>
      <protection/>
    </xf>
    <xf numFmtId="2" fontId="2" fillId="0" borderId="19" xfId="0" applyNumberFormat="1" applyFont="1" applyBorder="1" applyAlignment="1" applyProtection="1">
      <alignment/>
      <protection/>
    </xf>
    <xf numFmtId="2" fontId="0" fillId="0" borderId="0" xfId="0" applyNumberFormat="1" applyAlignment="1" applyProtection="1">
      <alignment horizontal="right"/>
      <protection/>
    </xf>
    <xf numFmtId="2" fontId="2" fillId="0" borderId="19" xfId="0" applyNumberFormat="1" applyFont="1" applyBorder="1" applyAlignment="1" applyProtection="1">
      <alignment horizontal="right"/>
      <protection/>
    </xf>
    <xf numFmtId="2" fontId="24" fillId="0" borderId="19" xfId="0" applyNumberFormat="1" applyFont="1" applyBorder="1" applyAlignment="1" applyProtection="1">
      <alignment horizontal="right"/>
      <protection/>
    </xf>
    <xf numFmtId="2" fontId="21" fillId="0" borderId="27" xfId="0" applyNumberFormat="1" applyFont="1" applyBorder="1" applyAlignment="1" applyProtection="1">
      <alignment/>
      <protection/>
    </xf>
    <xf numFmtId="0" fontId="20" fillId="0" borderId="2" xfId="0" applyFont="1" applyBorder="1" applyAlignment="1" applyProtection="1">
      <alignment/>
      <protection locked="0"/>
    </xf>
    <xf numFmtId="2" fontId="22" fillId="0" borderId="4" xfId="0" applyNumberFormat="1" applyFont="1" applyBorder="1" applyAlignment="1" applyProtection="1">
      <alignment horizontal="left"/>
      <protection locked="0"/>
    </xf>
    <xf numFmtId="0" fontId="22" fillId="0" borderId="2" xfId="0" applyFont="1" applyFill="1" applyBorder="1" applyAlignment="1" applyProtection="1">
      <alignment/>
      <protection locked="0"/>
    </xf>
    <xf numFmtId="9" fontId="20" fillId="0" borderId="29" xfId="0" applyNumberFormat="1" applyFont="1" applyBorder="1" applyAlignment="1" applyProtection="1">
      <alignment horizontal="center"/>
      <protection locked="0"/>
    </xf>
    <xf numFmtId="0" fontId="2" fillId="7" borderId="30" xfId="0" applyFont="1" applyFill="1" applyBorder="1" applyAlignment="1" applyProtection="1">
      <alignment/>
      <protection/>
    </xf>
    <xf numFmtId="0" fontId="2" fillId="8" borderId="31" xfId="0" applyFont="1" applyFill="1" applyBorder="1" applyAlignment="1" applyProtection="1">
      <alignment/>
      <protection/>
    </xf>
    <xf numFmtId="0" fontId="0" fillId="8" borderId="32" xfId="0" applyFill="1" applyBorder="1" applyAlignment="1" applyProtection="1">
      <alignment/>
      <protection/>
    </xf>
    <xf numFmtId="9" fontId="24" fillId="9" borderId="33" xfId="21" applyFont="1" applyFill="1" applyBorder="1" applyAlignment="1" applyProtection="1">
      <alignment/>
      <protection/>
    </xf>
    <xf numFmtId="9" fontId="24" fillId="9" borderId="7" xfId="21" applyFont="1" applyFill="1" applyBorder="1" applyAlignment="1" applyProtection="1">
      <alignment/>
      <protection/>
    </xf>
    <xf numFmtId="9" fontId="24" fillId="4" borderId="7" xfId="21" applyFont="1" applyFill="1" applyBorder="1" applyAlignment="1" applyProtection="1">
      <alignment/>
      <protection/>
    </xf>
    <xf numFmtId="9" fontId="24" fillId="4" borderId="8" xfId="2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3" borderId="0" xfId="0" applyFont="1" applyFill="1" applyBorder="1" applyAlignment="1" applyProtection="1">
      <alignment/>
      <protection/>
    </xf>
    <xf numFmtId="9" fontId="20" fillId="0" borderId="0" xfId="0" applyNumberFormat="1" applyFont="1" applyFill="1" applyBorder="1" applyAlignment="1" applyProtection="1">
      <alignment/>
      <protection locked="0"/>
    </xf>
    <xf numFmtId="9" fontId="20" fillId="3" borderId="0" xfId="0" applyNumberFormat="1" applyFont="1" applyFill="1" applyBorder="1" applyAlignment="1" applyProtection="1">
      <alignment/>
      <protection locked="0"/>
    </xf>
    <xf numFmtId="0" fontId="20" fillId="8" borderId="34" xfId="0" applyFont="1" applyFill="1" applyBorder="1" applyAlignment="1" applyProtection="1">
      <alignment/>
      <protection locked="0"/>
    </xf>
    <xf numFmtId="0" fontId="2" fillId="10" borderId="35" xfId="0" applyFont="1" applyFill="1" applyBorder="1" applyAlignment="1" applyProtection="1">
      <alignment horizontal="right"/>
      <protection/>
    </xf>
    <xf numFmtId="0" fontId="2" fillId="10" borderId="36" xfId="0" applyFont="1" applyFill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9" fontId="20" fillId="0" borderId="29" xfId="21" applyFont="1" applyBorder="1" applyAlignment="1" applyProtection="1">
      <alignment horizontal="center"/>
      <protection locked="0"/>
    </xf>
    <xf numFmtId="9" fontId="22" fillId="5" borderId="37" xfId="0" applyNumberFormat="1" applyFont="1" applyFill="1" applyBorder="1" applyAlignment="1" applyProtection="1">
      <alignment/>
      <protection locked="0"/>
    </xf>
    <xf numFmtId="0" fontId="22" fillId="11" borderId="0" xfId="0" applyFont="1" applyFill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22" fillId="11" borderId="0" xfId="0" applyFont="1" applyFill="1" applyBorder="1" applyAlignment="1" applyProtection="1">
      <alignment/>
      <protection/>
    </xf>
    <xf numFmtId="0" fontId="24" fillId="11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2" fillId="8" borderId="0" xfId="0" applyFont="1" applyFill="1" applyAlignment="1" applyProtection="1">
      <alignment/>
      <protection/>
    </xf>
    <xf numFmtId="0" fontId="2" fillId="12" borderId="0" xfId="0" applyFont="1" applyFill="1" applyAlignment="1" applyProtection="1">
      <alignment/>
      <protection/>
    </xf>
    <xf numFmtId="0" fontId="20" fillId="0" borderId="0" xfId="0" applyFont="1" applyAlignment="1" applyProtection="1">
      <alignment horizontal="right"/>
      <protection/>
    </xf>
    <xf numFmtId="2" fontId="0" fillId="0" borderId="18" xfId="0" applyNumberFormat="1" applyBorder="1" applyAlignment="1" applyProtection="1">
      <alignment/>
      <protection/>
    </xf>
    <xf numFmtId="0" fontId="34" fillId="3" borderId="19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2" fontId="0" fillId="0" borderId="14" xfId="0" applyNumberFormat="1" applyBorder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0" fontId="2" fillId="3" borderId="15" xfId="0" applyFont="1" applyFill="1" applyBorder="1" applyAlignment="1" applyProtection="1">
      <alignment/>
      <protection/>
    </xf>
    <xf numFmtId="2" fontId="0" fillId="0" borderId="14" xfId="0" applyNumberFormat="1" applyFill="1" applyBorder="1" applyAlignment="1" applyProtection="1">
      <alignment/>
      <protection/>
    </xf>
    <xf numFmtId="0" fontId="34" fillId="3" borderId="15" xfId="0" applyFont="1" applyFill="1" applyBorder="1" applyAlignment="1" applyProtection="1">
      <alignment/>
      <protection/>
    </xf>
    <xf numFmtId="2" fontId="0" fillId="0" borderId="16" xfId="0" applyNumberForma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22" fillId="4" borderId="0" xfId="0" applyFont="1" applyFill="1" applyAlignment="1" applyProtection="1">
      <alignment/>
      <protection/>
    </xf>
    <xf numFmtId="0" fontId="22" fillId="13" borderId="0" xfId="0" applyFont="1" applyFill="1" applyAlignment="1" applyProtection="1">
      <alignment/>
      <protection/>
    </xf>
    <xf numFmtId="0" fontId="22" fillId="14" borderId="0" xfId="0" applyFont="1" applyFill="1" applyAlignment="1" applyProtection="1">
      <alignment/>
      <protection/>
    </xf>
    <xf numFmtId="0" fontId="3" fillId="0" borderId="2" xfId="0" applyFont="1" applyFill="1" applyBorder="1" applyAlignment="1" applyProtection="1">
      <alignment/>
      <protection/>
    </xf>
    <xf numFmtId="0" fontId="22" fillId="8" borderId="0" xfId="0" applyFont="1" applyFill="1" applyAlignment="1" applyProtection="1">
      <alignment/>
      <protection/>
    </xf>
    <xf numFmtId="0" fontId="22" fillId="12" borderId="0" xfId="0" applyFont="1" applyFill="1" applyAlignment="1" applyProtection="1">
      <alignment/>
      <protection/>
    </xf>
    <xf numFmtId="0" fontId="22" fillId="3" borderId="38" xfId="0" applyFont="1" applyFill="1" applyBorder="1" applyAlignment="1" applyProtection="1">
      <alignment/>
      <protection/>
    </xf>
    <xf numFmtId="0" fontId="24" fillId="3" borderId="38" xfId="0" applyFont="1" applyFill="1" applyBorder="1" applyAlignment="1" applyProtection="1">
      <alignment/>
      <protection/>
    </xf>
    <xf numFmtId="0" fontId="26" fillId="3" borderId="39" xfId="0" applyFont="1" applyFill="1" applyBorder="1" applyAlignment="1" applyProtection="1">
      <alignment/>
      <protection/>
    </xf>
    <xf numFmtId="0" fontId="7" fillId="3" borderId="40" xfId="15" applyFont="1" applyFill="1" applyBorder="1" applyAlignment="1" applyProtection="1">
      <alignment/>
      <protection/>
    </xf>
    <xf numFmtId="0" fontId="3" fillId="3" borderId="41" xfId="0" applyFont="1" applyFill="1" applyBorder="1" applyAlignment="1" applyProtection="1">
      <alignment/>
      <protection/>
    </xf>
    <xf numFmtId="0" fontId="3" fillId="3" borderId="39" xfId="0" applyFont="1" applyFill="1" applyBorder="1" applyAlignment="1" applyProtection="1">
      <alignment/>
      <protection/>
    </xf>
    <xf numFmtId="0" fontId="44" fillId="3" borderId="24" xfId="15" applyFont="1" applyFill="1" applyBorder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0" fontId="48" fillId="3" borderId="40" xfId="15" applyFont="1" applyFill="1" applyBorder="1" applyAlignment="1" applyProtection="1">
      <alignment/>
      <protection/>
    </xf>
    <xf numFmtId="0" fontId="49" fillId="3" borderId="41" xfId="0" applyFont="1" applyFill="1" applyBorder="1" applyAlignment="1" applyProtection="1">
      <alignment/>
      <protection/>
    </xf>
    <xf numFmtId="0" fontId="49" fillId="3" borderId="21" xfId="0" applyFont="1" applyFill="1" applyBorder="1" applyAlignment="1" applyProtection="1">
      <alignment/>
      <protection/>
    </xf>
    <xf numFmtId="0" fontId="49" fillId="3" borderId="22" xfId="0" applyFont="1" applyFill="1" applyBorder="1" applyAlignment="1" applyProtection="1">
      <alignment/>
      <protection/>
    </xf>
    <xf numFmtId="0" fontId="45" fillId="3" borderId="23" xfId="0" applyFont="1" applyFill="1" applyBorder="1" applyAlignment="1" applyProtection="1">
      <alignment/>
      <protection/>
    </xf>
    <xf numFmtId="0" fontId="49" fillId="3" borderId="24" xfId="0" applyFont="1" applyFill="1" applyBorder="1" applyAlignment="1" applyProtection="1">
      <alignment/>
      <protection/>
    </xf>
    <xf numFmtId="0" fontId="49" fillId="3" borderId="0" xfId="0" applyFont="1" applyFill="1" applyBorder="1" applyAlignment="1" applyProtection="1">
      <alignment/>
      <protection/>
    </xf>
    <xf numFmtId="0" fontId="45" fillId="3" borderId="11" xfId="0" applyFont="1" applyFill="1" applyBorder="1" applyAlignment="1" applyProtection="1">
      <alignment/>
      <protection/>
    </xf>
    <xf numFmtId="0" fontId="50" fillId="3" borderId="24" xfId="15" applyFont="1" applyFill="1" applyBorder="1" applyAlignment="1" applyProtection="1">
      <alignment/>
      <protection/>
    </xf>
    <xf numFmtId="0" fontId="48" fillId="3" borderId="24" xfId="15" applyFont="1" applyFill="1" applyBorder="1" applyAlignment="1" applyProtection="1">
      <alignment/>
      <protection/>
    </xf>
    <xf numFmtId="0" fontId="29" fillId="11" borderId="0" xfId="0" applyFont="1" applyFill="1" applyBorder="1" applyAlignment="1" applyProtection="1">
      <alignment/>
      <protection/>
    </xf>
    <xf numFmtId="0" fontId="2" fillId="11" borderId="0" xfId="0" applyFont="1" applyFill="1" applyBorder="1" applyAlignment="1" applyProtection="1">
      <alignment/>
      <protection/>
    </xf>
    <xf numFmtId="0" fontId="0" fillId="11" borderId="0" xfId="0" applyFill="1" applyBorder="1" applyAlignment="1" applyProtection="1">
      <alignment/>
      <protection/>
    </xf>
    <xf numFmtId="0" fontId="0" fillId="11" borderId="0" xfId="0" applyFill="1" applyAlignment="1" applyProtection="1">
      <alignment/>
      <protection/>
    </xf>
    <xf numFmtId="2" fontId="0" fillId="11" borderId="0" xfId="0" applyNumberFormat="1" applyFill="1" applyAlignment="1" applyProtection="1">
      <alignment/>
      <protection/>
    </xf>
    <xf numFmtId="0" fontId="23" fillId="11" borderId="0" xfId="0" applyFont="1" applyFill="1" applyAlignment="1" applyProtection="1">
      <alignment/>
      <protection/>
    </xf>
    <xf numFmtId="0" fontId="0" fillId="11" borderId="0" xfId="0" applyFill="1" applyBorder="1" applyAlignment="1" applyProtection="1">
      <alignment horizontal="right"/>
      <protection/>
    </xf>
    <xf numFmtId="172" fontId="0" fillId="11" borderId="0" xfId="0" applyNumberFormat="1" applyFill="1" applyBorder="1" applyAlignment="1" applyProtection="1">
      <alignment/>
      <protection/>
    </xf>
    <xf numFmtId="0" fontId="2" fillId="11" borderId="0" xfId="0" applyFont="1" applyFill="1" applyAlignment="1" applyProtection="1">
      <alignment/>
      <protection/>
    </xf>
    <xf numFmtId="172" fontId="22" fillId="11" borderId="0" xfId="0" applyNumberFormat="1" applyFont="1" applyFill="1" applyBorder="1" applyAlignment="1" applyProtection="1">
      <alignment horizontal="center"/>
      <protection/>
    </xf>
    <xf numFmtId="0" fontId="21" fillId="11" borderId="0" xfId="0" applyFont="1" applyFill="1" applyBorder="1" applyAlignment="1" applyProtection="1">
      <alignment/>
      <protection/>
    </xf>
    <xf numFmtId="0" fontId="5" fillId="11" borderId="0" xfId="0" applyFont="1" applyFill="1" applyBorder="1" applyAlignment="1" applyProtection="1">
      <alignment/>
      <protection/>
    </xf>
    <xf numFmtId="1" fontId="21" fillId="11" borderId="0" xfId="0" applyNumberFormat="1" applyFont="1" applyFill="1" applyBorder="1" applyAlignment="1" applyProtection="1">
      <alignment/>
      <protection/>
    </xf>
    <xf numFmtId="9" fontId="2" fillId="11" borderId="0" xfId="0" applyNumberFormat="1" applyFont="1" applyFill="1" applyBorder="1" applyAlignment="1" applyProtection="1">
      <alignment/>
      <protection/>
    </xf>
    <xf numFmtId="0" fontId="20" fillId="11" borderId="0" xfId="0" applyFont="1" applyFill="1" applyBorder="1" applyAlignment="1" applyProtection="1">
      <alignment horizontal="center"/>
      <protection/>
    </xf>
    <xf numFmtId="0" fontId="47" fillId="11" borderId="0" xfId="0" applyFont="1" applyFill="1" applyAlignment="1" applyProtection="1">
      <alignment/>
      <protection/>
    </xf>
    <xf numFmtId="0" fontId="20" fillId="11" borderId="0" xfId="0" applyFont="1" applyFill="1" applyBorder="1" applyAlignment="1" applyProtection="1">
      <alignment/>
      <protection locked="0"/>
    </xf>
    <xf numFmtId="1" fontId="0" fillId="11" borderId="0" xfId="0" applyNumberFormat="1" applyFill="1" applyAlignment="1" applyProtection="1">
      <alignment/>
      <protection/>
    </xf>
    <xf numFmtId="172" fontId="25" fillId="11" borderId="0" xfId="0" applyNumberFormat="1" applyFont="1" applyFill="1" applyBorder="1" applyAlignment="1" applyProtection="1">
      <alignment/>
      <protection/>
    </xf>
    <xf numFmtId="10" fontId="25" fillId="11" borderId="0" xfId="21" applyNumberFormat="1" applyFont="1" applyFill="1" applyBorder="1" applyAlignment="1" applyProtection="1">
      <alignment horizontal="right"/>
      <protection/>
    </xf>
    <xf numFmtId="0" fontId="46" fillId="11" borderId="0" xfId="0" applyFont="1" applyFill="1" applyAlignment="1" applyProtection="1">
      <alignment/>
      <protection/>
    </xf>
    <xf numFmtId="0" fontId="46" fillId="11" borderId="0" xfId="0" applyFont="1" applyFill="1" applyAlignment="1" applyProtection="1">
      <alignment horizontal="right"/>
      <protection/>
    </xf>
    <xf numFmtId="0" fontId="0" fillId="15" borderId="0" xfId="0" applyFill="1" applyAlignment="1">
      <alignment/>
    </xf>
    <xf numFmtId="0" fontId="0" fillId="3" borderId="0" xfId="0" applyFill="1" applyAlignment="1">
      <alignment/>
    </xf>
    <xf numFmtId="9" fontId="24" fillId="3" borderId="0" xfId="21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9" fillId="0" borderId="0" xfId="0" applyFont="1" applyBorder="1" applyAlignment="1" applyProtection="1">
      <alignment/>
      <protection/>
    </xf>
    <xf numFmtId="0" fontId="52" fillId="8" borderId="31" xfId="0" applyFont="1" applyFill="1" applyBorder="1" applyAlignment="1" applyProtection="1">
      <alignment/>
      <protection/>
    </xf>
    <xf numFmtId="0" fontId="53" fillId="8" borderId="34" xfId="0" applyFont="1" applyFill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1" fontId="0" fillId="3" borderId="0" xfId="0" applyNumberFormat="1" applyFill="1" applyAlignment="1" applyProtection="1">
      <alignment/>
      <protection/>
    </xf>
    <xf numFmtId="0" fontId="20" fillId="3" borderId="0" xfId="0" applyFont="1" applyFill="1" applyBorder="1" applyAlignment="1" applyProtection="1">
      <alignment horizontal="center"/>
      <protection/>
    </xf>
    <xf numFmtId="9" fontId="0" fillId="3" borderId="0" xfId="21" applyFill="1" applyAlignment="1" applyProtection="1">
      <alignment/>
      <protection/>
    </xf>
    <xf numFmtId="0" fontId="20" fillId="0" borderId="0" xfId="0" applyFont="1" applyBorder="1" applyAlignment="1" applyProtection="1">
      <alignment horizontal="center"/>
      <protection/>
    </xf>
    <xf numFmtId="2" fontId="0" fillId="0" borderId="4" xfId="0" applyNumberFormat="1" applyBorder="1" applyAlignment="1" applyProtection="1">
      <alignment horizontal="left"/>
      <protection/>
    </xf>
    <xf numFmtId="0" fontId="23" fillId="0" borderId="0" xfId="0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2" fontId="34" fillId="0" borderId="0" xfId="0" applyNumberFormat="1" applyFont="1" applyBorder="1" applyAlignment="1" applyProtection="1">
      <alignment horizontal="left"/>
      <protection/>
    </xf>
    <xf numFmtId="2" fontId="3" fillId="0" borderId="0" xfId="0" applyNumberFormat="1" applyFont="1" applyAlignment="1" applyProtection="1">
      <alignment/>
      <protection/>
    </xf>
    <xf numFmtId="0" fontId="0" fillId="3" borderId="0" xfId="0" applyFill="1" applyBorder="1" applyAlignment="1" applyProtection="1">
      <alignment horizontal="right"/>
      <protection/>
    </xf>
    <xf numFmtId="172" fontId="0" fillId="3" borderId="0" xfId="0" applyNumberFormat="1" applyFill="1" applyBorder="1" applyAlignment="1" applyProtection="1">
      <alignment/>
      <protection/>
    </xf>
    <xf numFmtId="2" fontId="18" fillId="3" borderId="0" xfId="0" applyNumberFormat="1" applyFont="1" applyFill="1" applyBorder="1" applyAlignment="1" applyProtection="1">
      <alignment horizontal="right"/>
      <protection/>
    </xf>
    <xf numFmtId="172" fontId="25" fillId="3" borderId="0" xfId="0" applyNumberFormat="1" applyFont="1" applyFill="1" applyBorder="1" applyAlignment="1" applyProtection="1">
      <alignment/>
      <protection/>
    </xf>
    <xf numFmtId="10" fontId="25" fillId="3" borderId="0" xfId="21" applyNumberFormat="1" applyFont="1" applyFill="1" applyBorder="1" applyAlignment="1" applyProtection="1">
      <alignment horizontal="right"/>
      <protection/>
    </xf>
    <xf numFmtId="9" fontId="24" fillId="4" borderId="0" xfId="21" applyFont="1" applyFill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9" fontId="20" fillId="0" borderId="29" xfId="0" applyNumberFormat="1" applyFont="1" applyFill="1" applyBorder="1" applyAlignment="1" applyProtection="1">
      <alignment horizontal="center"/>
      <protection locked="0"/>
    </xf>
    <xf numFmtId="1" fontId="0" fillId="4" borderId="0" xfId="0" applyNumberFormat="1" applyFill="1" applyAlignment="1" applyProtection="1">
      <alignment/>
      <protection/>
    </xf>
    <xf numFmtId="0" fontId="20" fillId="4" borderId="0" xfId="0" applyFont="1" applyFill="1" applyBorder="1" applyAlignment="1" applyProtection="1">
      <alignment horizontal="center"/>
      <protection/>
    </xf>
    <xf numFmtId="0" fontId="0" fillId="4" borderId="0" xfId="0" applyFill="1" applyAlignment="1" applyProtection="1">
      <alignment/>
      <protection/>
    </xf>
    <xf numFmtId="9" fontId="0" fillId="4" borderId="0" xfId="21" applyFill="1" applyAlignment="1" applyProtection="1">
      <alignment/>
      <protection/>
    </xf>
    <xf numFmtId="9" fontId="24" fillId="6" borderId="0" xfId="21" applyFont="1" applyFill="1" applyBorder="1" applyAlignment="1" applyProtection="1">
      <alignment/>
      <protection/>
    </xf>
    <xf numFmtId="0" fontId="0" fillId="6" borderId="0" xfId="0" applyFill="1" applyBorder="1" applyAlignment="1" applyProtection="1">
      <alignment/>
      <protection/>
    </xf>
    <xf numFmtId="1" fontId="0" fillId="6" borderId="0" xfId="0" applyNumberFormat="1" applyFill="1" applyAlignment="1" applyProtection="1">
      <alignment/>
      <protection/>
    </xf>
    <xf numFmtId="0" fontId="20" fillId="6" borderId="0" xfId="0" applyFont="1" applyFill="1" applyBorder="1" applyAlignment="1" applyProtection="1">
      <alignment horizontal="center"/>
      <protection/>
    </xf>
    <xf numFmtId="9" fontId="0" fillId="6" borderId="0" xfId="21" applyFill="1" applyAlignment="1" applyProtection="1">
      <alignment/>
      <protection/>
    </xf>
    <xf numFmtId="9" fontId="24" fillId="16" borderId="0" xfId="21" applyFont="1" applyFill="1" applyBorder="1" applyAlignment="1" applyProtection="1">
      <alignment/>
      <protection/>
    </xf>
    <xf numFmtId="0" fontId="0" fillId="16" borderId="0" xfId="0" applyFill="1" applyBorder="1" applyAlignment="1" applyProtection="1">
      <alignment/>
      <protection/>
    </xf>
    <xf numFmtId="0" fontId="0" fillId="16" borderId="0" xfId="0" applyFill="1" applyAlignment="1" applyProtection="1">
      <alignment/>
      <protection/>
    </xf>
    <xf numFmtId="1" fontId="0" fillId="16" borderId="0" xfId="0" applyNumberFormat="1" applyFill="1" applyAlignment="1" applyProtection="1">
      <alignment/>
      <protection/>
    </xf>
    <xf numFmtId="0" fontId="20" fillId="16" borderId="0" xfId="0" applyFont="1" applyFill="1" applyBorder="1" applyAlignment="1" applyProtection="1">
      <alignment horizontal="center"/>
      <protection/>
    </xf>
    <xf numFmtId="9" fontId="0" fillId="16" borderId="0" xfId="21" applyFill="1" applyAlignment="1" applyProtection="1">
      <alignment/>
      <protection/>
    </xf>
    <xf numFmtId="0" fontId="8" fillId="5" borderId="18" xfId="0" applyFont="1" applyFill="1" applyBorder="1" applyAlignment="1" applyProtection="1">
      <alignment/>
      <protection/>
    </xf>
    <xf numFmtId="0" fontId="54" fillId="5" borderId="10" xfId="0" applyFont="1" applyFill="1" applyBorder="1" applyAlignment="1">
      <alignment/>
    </xf>
    <xf numFmtId="0" fontId="55" fillId="5" borderId="10" xfId="0" applyFont="1" applyFill="1" applyBorder="1" applyAlignment="1" applyProtection="1">
      <alignment/>
      <protection/>
    </xf>
    <xf numFmtId="0" fontId="8" fillId="5" borderId="19" xfId="0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56" fillId="3" borderId="21" xfId="0" applyFont="1" applyFill="1" applyBorder="1" applyAlignment="1" applyProtection="1">
      <alignment/>
      <protection/>
    </xf>
    <xf numFmtId="0" fontId="56" fillId="3" borderId="22" xfId="0" applyFont="1" applyFill="1" applyBorder="1" applyAlignment="1" applyProtection="1">
      <alignment/>
      <protection/>
    </xf>
    <xf numFmtId="0" fontId="56" fillId="3" borderId="24" xfId="0" applyFont="1" applyFill="1" applyBorder="1" applyAlignment="1" applyProtection="1">
      <alignment/>
      <protection/>
    </xf>
    <xf numFmtId="0" fontId="56" fillId="3" borderId="0" xfId="0" applyFont="1" applyFill="1" applyBorder="1" applyAlignment="1" applyProtection="1">
      <alignment/>
      <protection/>
    </xf>
    <xf numFmtId="0" fontId="4" fillId="3" borderId="24" xfId="15" applyFont="1" applyFill="1" applyBorder="1" applyAlignment="1" applyProtection="1">
      <alignment/>
      <protection/>
    </xf>
    <xf numFmtId="0" fontId="57" fillId="3" borderId="24" xfId="15" applyFont="1" applyFill="1" applyBorder="1" applyAlignment="1" applyProtection="1">
      <alignment/>
      <protection/>
    </xf>
    <xf numFmtId="0" fontId="57" fillId="3" borderId="40" xfId="15" applyFont="1" applyFill="1" applyBorder="1" applyAlignment="1" applyProtection="1">
      <alignment/>
      <protection/>
    </xf>
    <xf numFmtId="0" fontId="56" fillId="3" borderId="41" xfId="0" applyFont="1" applyFill="1" applyBorder="1" applyAlignment="1" applyProtection="1">
      <alignment/>
      <protection/>
    </xf>
    <xf numFmtId="0" fontId="0" fillId="3" borderId="39" xfId="0" applyFont="1" applyFill="1" applyBorder="1" applyAlignment="1" applyProtection="1">
      <alignment/>
      <protection/>
    </xf>
    <xf numFmtId="0" fontId="34" fillId="0" borderId="0" xfId="0" applyFont="1" applyFill="1" applyBorder="1" applyAlignment="1" applyProtection="1">
      <alignment/>
      <protection/>
    </xf>
    <xf numFmtId="10" fontId="58" fillId="17" borderId="0" xfId="21" applyNumberFormat="1" applyFont="1" applyFill="1" applyBorder="1" applyAlignment="1" applyProtection="1">
      <alignment horizontal="right"/>
      <protection/>
    </xf>
    <xf numFmtId="2" fontId="58" fillId="17" borderId="0" xfId="0" applyNumberFormat="1" applyFont="1" applyFill="1" applyAlignment="1" applyProtection="1">
      <alignment/>
      <protection/>
    </xf>
    <xf numFmtId="10" fontId="58" fillId="17" borderId="0" xfId="21" applyNumberFormat="1" applyFont="1" applyFill="1" applyAlignment="1" applyProtection="1">
      <alignment/>
      <protection/>
    </xf>
    <xf numFmtId="2" fontId="0" fillId="0" borderId="0" xfId="0" applyNumberFormat="1" applyAlignment="1" applyProtection="1">
      <alignment horizontal="left"/>
      <protection/>
    </xf>
    <xf numFmtId="172" fontId="2" fillId="0" borderId="0" xfId="0" applyNumberFormat="1" applyFont="1" applyBorder="1" applyAlignment="1" applyProtection="1">
      <alignment/>
      <protection/>
    </xf>
    <xf numFmtId="2" fontId="24" fillId="0" borderId="0" xfId="0" applyNumberFormat="1" applyFont="1" applyBorder="1" applyAlignment="1" applyProtection="1">
      <alignment horizontal="right"/>
      <protection/>
    </xf>
    <xf numFmtId="0" fontId="2" fillId="10" borderId="0" xfId="0" applyFont="1" applyFill="1" applyBorder="1" applyAlignment="1" applyProtection="1">
      <alignment horizontal="right"/>
      <protection/>
    </xf>
    <xf numFmtId="0" fontId="2" fillId="10" borderId="0" xfId="0" applyFont="1" applyFill="1" applyBorder="1" applyAlignment="1" applyProtection="1">
      <alignment/>
      <protection/>
    </xf>
    <xf numFmtId="0" fontId="8" fillId="5" borderId="0" xfId="0" applyFont="1" applyFill="1" applyBorder="1" applyAlignment="1" applyProtection="1">
      <alignment/>
      <protection/>
    </xf>
    <xf numFmtId="2" fontId="34" fillId="0" borderId="0" xfId="0" applyNumberFormat="1" applyFont="1" applyBorder="1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/>
    </xf>
    <xf numFmtId="2" fontId="26" fillId="0" borderId="0" xfId="0" applyNumberFormat="1" applyFont="1" applyBorder="1" applyAlignment="1" applyProtection="1">
      <alignment horizontal="left"/>
      <protection/>
    </xf>
    <xf numFmtId="0" fontId="26" fillId="0" borderId="42" xfId="0" applyFont="1" applyBorder="1" applyAlignment="1">
      <alignment/>
    </xf>
    <xf numFmtId="0" fontId="3" fillId="0" borderId="42" xfId="0" applyFont="1" applyBorder="1" applyAlignment="1">
      <alignment/>
    </xf>
    <xf numFmtId="0" fontId="63" fillId="3" borderId="42" xfId="15" applyFont="1" applyFill="1" applyBorder="1" applyAlignment="1">
      <alignment/>
    </xf>
    <xf numFmtId="0" fontId="63" fillId="4" borderId="42" xfId="15" applyFont="1" applyFill="1" applyBorder="1" applyAlignment="1">
      <alignment/>
    </xf>
    <xf numFmtId="0" fontId="64" fillId="6" borderId="42" xfId="15" applyFont="1" applyFill="1" applyBorder="1" applyAlignment="1">
      <alignment/>
    </xf>
    <xf numFmtId="0" fontId="63" fillId="16" borderId="42" xfId="15" applyFont="1" applyFill="1" applyBorder="1" applyAlignment="1">
      <alignment/>
    </xf>
    <xf numFmtId="0" fontId="38" fillId="0" borderId="42" xfId="15" applyFont="1" applyBorder="1" applyAlignment="1">
      <alignment horizontal="center"/>
    </xf>
    <xf numFmtId="0" fontId="21" fillId="0" borderId="0" xfId="0" applyFont="1" applyBorder="1" applyAlignment="1" applyProtection="1">
      <alignment/>
      <protection/>
    </xf>
    <xf numFmtId="1" fontId="21" fillId="0" borderId="0" xfId="0" applyNumberFormat="1" applyFont="1" applyBorder="1" applyAlignment="1" applyProtection="1">
      <alignment/>
      <protection/>
    </xf>
    <xf numFmtId="172" fontId="65" fillId="17" borderId="0" xfId="0" applyNumberFormat="1" applyFont="1" applyFill="1" applyBorder="1" applyAlignment="1" applyProtection="1">
      <alignment/>
      <protection/>
    </xf>
    <xf numFmtId="2" fontId="51" fillId="17" borderId="0" xfId="0" applyNumberFormat="1" applyFont="1" applyFill="1" applyBorder="1" applyAlignment="1" applyProtection="1">
      <alignment horizontal="center"/>
      <protection/>
    </xf>
    <xf numFmtId="10" fontId="51" fillId="17" borderId="0" xfId="21" applyNumberFormat="1" applyFont="1" applyFill="1" applyBorder="1" applyAlignment="1" applyProtection="1">
      <alignment horizontal="center"/>
      <protection/>
    </xf>
    <xf numFmtId="172" fontId="66" fillId="17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Alignment="1" applyProtection="1">
      <alignment/>
      <protection hidden="1"/>
    </xf>
    <xf numFmtId="0" fontId="0" fillId="0" borderId="28" xfId="0" applyNumberFormat="1" applyBorder="1" applyAlignment="1" applyProtection="1">
      <alignment/>
      <protection hidden="1"/>
    </xf>
    <xf numFmtId="0" fontId="3" fillId="0" borderId="43" xfId="0" applyFont="1" applyBorder="1" applyAlignment="1" applyProtection="1">
      <alignment horizontal="center"/>
      <protection/>
    </xf>
    <xf numFmtId="9" fontId="24" fillId="9" borderId="44" xfId="21" applyFont="1" applyFill="1" applyBorder="1" applyAlignment="1" applyProtection="1">
      <alignment/>
      <protection/>
    </xf>
    <xf numFmtId="0" fontId="20" fillId="0" borderId="45" xfId="0" applyFont="1" applyFill="1" applyBorder="1" applyAlignment="1" applyProtection="1">
      <alignment horizontal="center"/>
      <protection/>
    </xf>
    <xf numFmtId="0" fontId="14" fillId="0" borderId="3" xfId="0" applyFont="1" applyBorder="1" applyAlignment="1">
      <alignment horizontal="center"/>
    </xf>
    <xf numFmtId="0" fontId="43" fillId="18" borderId="2" xfId="0" applyFont="1" applyFill="1" applyBorder="1" applyAlignment="1" applyProtection="1">
      <alignment/>
      <protection/>
    </xf>
    <xf numFmtId="0" fontId="3" fillId="2" borderId="2" xfId="0" applyFont="1" applyFill="1" applyBorder="1" applyAlignment="1" applyProtection="1">
      <alignment/>
      <protection/>
    </xf>
    <xf numFmtId="0" fontId="3" fillId="8" borderId="2" xfId="0" applyFont="1" applyFill="1" applyBorder="1" applyAlignment="1" applyProtection="1">
      <alignment/>
      <protection/>
    </xf>
    <xf numFmtId="9" fontId="24" fillId="9" borderId="46" xfId="21" applyFont="1" applyFill="1" applyBorder="1" applyAlignment="1" applyProtection="1">
      <alignment/>
      <protection/>
    </xf>
    <xf numFmtId="0" fontId="14" fillId="0" borderId="47" xfId="0" applyFont="1" applyBorder="1" applyAlignment="1">
      <alignment horizontal="center"/>
    </xf>
    <xf numFmtId="9" fontId="24" fillId="4" borderId="46" xfId="21" applyFont="1" applyFill="1" applyBorder="1" applyAlignment="1" applyProtection="1">
      <alignment/>
      <protection/>
    </xf>
    <xf numFmtId="0" fontId="0" fillId="18" borderId="2" xfId="0" applyFill="1" applyBorder="1" applyAlignment="1" applyProtection="1">
      <alignment/>
      <protection/>
    </xf>
    <xf numFmtId="9" fontId="24" fillId="4" borderId="48" xfId="21" applyFont="1" applyFill="1" applyBorder="1" applyAlignment="1" applyProtection="1">
      <alignment/>
      <protection/>
    </xf>
    <xf numFmtId="0" fontId="20" fillId="0" borderId="49" xfId="0" applyFont="1" applyFill="1" applyBorder="1" applyAlignment="1" applyProtection="1">
      <alignment horizontal="center"/>
      <protection/>
    </xf>
    <xf numFmtId="10" fontId="58" fillId="0" borderId="0" xfId="21" applyNumberFormat="1" applyFont="1" applyFill="1" applyBorder="1" applyAlignment="1" applyProtection="1">
      <alignment horizontal="right"/>
      <protection/>
    </xf>
    <xf numFmtId="2" fontId="58" fillId="0" borderId="0" xfId="0" applyNumberFormat="1" applyFont="1" applyFill="1" applyAlignment="1" applyProtection="1">
      <alignment/>
      <protection/>
    </xf>
    <xf numFmtId="10" fontId="59" fillId="0" borderId="0" xfId="21" applyNumberFormat="1" applyFont="1" applyFill="1" applyBorder="1" applyAlignment="1" applyProtection="1">
      <alignment horizontal="left"/>
      <protection/>
    </xf>
    <xf numFmtId="10" fontId="58" fillId="0" borderId="0" xfId="21" applyNumberFormat="1" applyFont="1" applyFill="1" applyAlignment="1" applyProtection="1">
      <alignment/>
      <protection/>
    </xf>
    <xf numFmtId="2" fontId="2" fillId="0" borderId="0" xfId="0" applyNumberFormat="1" applyFont="1" applyAlignment="1" applyProtection="1">
      <alignment horizontal="center"/>
      <protection/>
    </xf>
    <xf numFmtId="10" fontId="35" fillId="4" borderId="0" xfId="21" applyNumberFormat="1" applyFont="1" applyFill="1" applyBorder="1" applyAlignment="1" applyProtection="1">
      <alignment horizontal="right"/>
      <protection/>
    </xf>
    <xf numFmtId="2" fontId="67" fillId="4" borderId="0" xfId="0" applyNumberFormat="1" applyFont="1" applyFill="1" applyAlignment="1" applyProtection="1">
      <alignment/>
      <protection/>
    </xf>
    <xf numFmtId="10" fontId="45" fillId="4" borderId="0" xfId="21" applyNumberFormat="1" applyFont="1" applyFill="1" applyBorder="1" applyAlignment="1" applyProtection="1">
      <alignment horizontal="right"/>
      <protection/>
    </xf>
    <xf numFmtId="10" fontId="67" fillId="4" borderId="0" xfId="21" applyNumberFormat="1" applyFont="1" applyFill="1" applyAlignment="1" applyProtection="1">
      <alignment/>
      <protection/>
    </xf>
    <xf numFmtId="2" fontId="0" fillId="0" borderId="5" xfId="0" applyNumberFormat="1" applyBorder="1" applyAlignment="1" applyProtection="1">
      <alignment horizontal="left"/>
      <protection/>
    </xf>
    <xf numFmtId="2" fontId="0" fillId="0" borderId="5" xfId="0" applyNumberFormat="1" applyBorder="1" applyAlignment="1" applyProtection="1">
      <alignment horizontal="center"/>
      <protection/>
    </xf>
    <xf numFmtId="2" fontId="0" fillId="0" borderId="5" xfId="0" applyNumberFormat="1" applyBorder="1" applyAlignment="1" applyProtection="1">
      <alignment/>
      <protection/>
    </xf>
    <xf numFmtId="2" fontId="2" fillId="0" borderId="6" xfId="0" applyNumberFormat="1" applyFont="1" applyBorder="1" applyAlignment="1" applyProtection="1">
      <alignment horizontal="center"/>
      <protection/>
    </xf>
    <xf numFmtId="2" fontId="0" fillId="0" borderId="4" xfId="0" applyNumberFormat="1" applyBorder="1" applyAlignment="1" applyProtection="1">
      <alignment horizontal="center"/>
      <protection/>
    </xf>
    <xf numFmtId="2" fontId="0" fillId="0" borderId="4" xfId="0" applyNumberFormat="1" applyBorder="1" applyAlignment="1" applyProtection="1">
      <alignment horizontal="right"/>
      <protection/>
    </xf>
    <xf numFmtId="2" fontId="2" fillId="0" borderId="4" xfId="0" applyNumberFormat="1" applyFont="1" applyBorder="1" applyAlignment="1" applyProtection="1">
      <alignment horizontal="center"/>
      <protection/>
    </xf>
    <xf numFmtId="2" fontId="0" fillId="0" borderId="5" xfId="0" applyNumberFormat="1" applyBorder="1" applyAlignment="1" applyProtection="1">
      <alignment horizontal="right"/>
      <protection/>
    </xf>
    <xf numFmtId="0" fontId="0" fillId="0" borderId="33" xfId="0" applyBorder="1" applyAlignment="1" applyProtection="1">
      <alignment/>
      <protection/>
    </xf>
    <xf numFmtId="0" fontId="0" fillId="0" borderId="50" xfId="0" applyBorder="1" applyAlignment="1" applyProtection="1">
      <alignment/>
      <protection/>
    </xf>
    <xf numFmtId="2" fontId="0" fillId="0" borderId="51" xfId="0" applyNumberFormat="1" applyBorder="1" applyAlignment="1" applyProtection="1">
      <alignment horizontal="left"/>
      <protection/>
    </xf>
    <xf numFmtId="0" fontId="0" fillId="0" borderId="7" xfId="0" applyBorder="1" applyAlignment="1" applyProtection="1">
      <alignment/>
      <protection/>
    </xf>
    <xf numFmtId="2" fontId="0" fillId="0" borderId="52" xfId="0" applyNumberFormat="1" applyBorder="1" applyAlignment="1" applyProtection="1">
      <alignment horizontal="left"/>
      <protection/>
    </xf>
    <xf numFmtId="2" fontId="0" fillId="0" borderId="53" xfId="0" applyNumberFormat="1" applyBorder="1" applyAlignment="1" applyProtection="1">
      <alignment horizontal="left"/>
      <protection/>
    </xf>
    <xf numFmtId="2" fontId="22" fillId="0" borderId="54" xfId="0" applyNumberFormat="1" applyFont="1" applyBorder="1" applyAlignment="1" applyProtection="1">
      <alignment horizontal="left"/>
      <protection locked="0"/>
    </xf>
    <xf numFmtId="0" fontId="0" fillId="0" borderId="46" xfId="0" applyBorder="1" applyAlignment="1" applyProtection="1">
      <alignment/>
      <protection/>
    </xf>
    <xf numFmtId="2" fontId="0" fillId="0" borderId="55" xfId="0" applyNumberFormat="1" applyBorder="1" applyAlignment="1" applyProtection="1">
      <alignment horizontal="right"/>
      <protection/>
    </xf>
    <xf numFmtId="0" fontId="0" fillId="0" borderId="7" xfId="0" applyFill="1" applyBorder="1" applyAlignment="1" applyProtection="1">
      <alignment/>
      <protection/>
    </xf>
    <xf numFmtId="2" fontId="0" fillId="0" borderId="52" xfId="0" applyNumberFormat="1" applyBorder="1" applyAlignment="1" applyProtection="1">
      <alignment horizontal="right"/>
      <protection/>
    </xf>
    <xf numFmtId="0" fontId="0" fillId="0" borderId="7" xfId="0" applyFont="1" applyFill="1" applyBorder="1" applyAlignment="1" applyProtection="1">
      <alignment/>
      <protection/>
    </xf>
    <xf numFmtId="175" fontId="22" fillId="0" borderId="54" xfId="19" applyNumberFormat="1" applyFont="1" applyBorder="1" applyAlignment="1" applyProtection="1">
      <alignment horizontal="right"/>
      <protection locked="0"/>
    </xf>
    <xf numFmtId="0" fontId="0" fillId="0" borderId="46" xfId="0" applyFill="1" applyBorder="1" applyAlignment="1" applyProtection="1">
      <alignment/>
      <protection/>
    </xf>
    <xf numFmtId="0" fontId="2" fillId="0" borderId="7" xfId="0" applyFont="1" applyFill="1" applyBorder="1" applyAlignment="1" applyProtection="1">
      <alignment/>
      <protection/>
    </xf>
    <xf numFmtId="2" fontId="2" fillId="0" borderId="56" xfId="0" applyNumberFormat="1" applyFont="1" applyBorder="1" applyAlignment="1" applyProtection="1">
      <alignment horizontal="left"/>
      <protection/>
    </xf>
    <xf numFmtId="0" fontId="0" fillId="0" borderId="48" xfId="0" applyBorder="1" applyAlignment="1" applyProtection="1">
      <alignment horizontal="right"/>
      <protection/>
    </xf>
    <xf numFmtId="2" fontId="2" fillId="0" borderId="54" xfId="0" applyNumberFormat="1" applyFont="1" applyBorder="1" applyAlignment="1" applyProtection="1">
      <alignment horizontal="left"/>
      <protection/>
    </xf>
    <xf numFmtId="2" fontId="0" fillId="0" borderId="15" xfId="0" applyNumberFormat="1" applyBorder="1" applyAlignment="1" applyProtection="1">
      <alignment horizontal="right"/>
      <protection/>
    </xf>
    <xf numFmtId="175" fontId="2" fillId="0" borderId="54" xfId="19" applyNumberFormat="1" applyFont="1" applyBorder="1" applyAlignment="1" applyProtection="1">
      <alignment horizontal="right"/>
      <protection/>
    </xf>
    <xf numFmtId="2" fontId="2" fillId="0" borderId="54" xfId="0" applyNumberFormat="1" applyFont="1" applyBorder="1" applyAlignment="1" applyProtection="1">
      <alignment horizontal="right"/>
      <protection/>
    </xf>
    <xf numFmtId="0" fontId="1" fillId="8" borderId="0" xfId="0" applyFont="1" applyFill="1" applyAlignment="1" applyProtection="1">
      <alignment horizontal="left"/>
      <protection/>
    </xf>
    <xf numFmtId="0" fontId="38" fillId="8" borderId="12" xfId="0" applyFont="1" applyFill="1" applyBorder="1" applyAlignment="1" applyProtection="1">
      <alignment horizontal="left"/>
      <protection/>
    </xf>
    <xf numFmtId="0" fontId="38" fillId="8" borderId="16" xfId="0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  <xf numFmtId="9" fontId="24" fillId="0" borderId="0" xfId="21" applyFont="1" applyFill="1" applyBorder="1" applyAlignment="1" applyProtection="1">
      <alignment/>
      <protection/>
    </xf>
    <xf numFmtId="0" fontId="14" fillId="0" borderId="0" xfId="0" applyFont="1" applyFill="1" applyBorder="1" applyAlignment="1">
      <alignment horizontal="center"/>
    </xf>
    <xf numFmtId="0" fontId="2" fillId="0" borderId="0" xfId="0" applyFont="1" applyFill="1" applyAlignment="1" applyProtection="1">
      <alignment/>
      <protection/>
    </xf>
    <xf numFmtId="0" fontId="0" fillId="0" borderId="7" xfId="0" applyBorder="1" applyAlignment="1" applyProtection="1">
      <alignment horizontal="left"/>
      <protection/>
    </xf>
    <xf numFmtId="0" fontId="22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43" fillId="0" borderId="0" xfId="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47" fillId="0" borderId="0" xfId="0" applyFont="1" applyBorder="1" applyAlignment="1" applyProtection="1">
      <alignment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right"/>
      <protection/>
    </xf>
    <xf numFmtId="172" fontId="2" fillId="0" borderId="0" xfId="0" applyNumberFormat="1" applyFont="1" applyFill="1" applyBorder="1" applyAlignment="1" applyProtection="1">
      <alignment/>
      <protection/>
    </xf>
    <xf numFmtId="2" fontId="34" fillId="0" borderId="0" xfId="0" applyNumberFormat="1" applyFont="1" applyFill="1" applyBorder="1" applyAlignment="1" applyProtection="1">
      <alignment horizontal="center"/>
      <protection/>
    </xf>
    <xf numFmtId="2" fontId="2" fillId="0" borderId="2" xfId="0" applyNumberFormat="1" applyFont="1" applyBorder="1" applyAlignment="1" applyProtection="1">
      <alignment horizontal="left"/>
      <protection/>
    </xf>
    <xf numFmtId="2" fontId="2" fillId="0" borderId="2" xfId="0" applyNumberFormat="1" applyFont="1" applyBorder="1" applyAlignment="1" applyProtection="1">
      <alignment horizontal="right"/>
      <protection/>
    </xf>
    <xf numFmtId="2" fontId="2" fillId="0" borderId="2" xfId="0" applyNumberFormat="1" applyFont="1" applyBorder="1" applyAlignment="1" applyProtection="1">
      <alignment horizontal="center"/>
      <protection/>
    </xf>
    <xf numFmtId="2" fontId="3" fillId="0" borderId="2" xfId="0" applyNumberFormat="1" applyFont="1" applyBorder="1" applyAlignment="1" applyProtection="1">
      <alignment horizontal="center"/>
      <protection/>
    </xf>
    <xf numFmtId="172" fontId="65" fillId="19" borderId="0" xfId="0" applyNumberFormat="1" applyFont="1" applyFill="1" applyBorder="1" applyAlignment="1" applyProtection="1">
      <alignment/>
      <protection/>
    </xf>
    <xf numFmtId="2" fontId="51" fillId="19" borderId="0" xfId="0" applyNumberFormat="1" applyFont="1" applyFill="1" applyBorder="1" applyAlignment="1" applyProtection="1">
      <alignment horizontal="center"/>
      <protection/>
    </xf>
    <xf numFmtId="10" fontId="51" fillId="19" borderId="0" xfId="21" applyNumberFormat="1" applyFont="1" applyFill="1" applyBorder="1" applyAlignment="1" applyProtection="1">
      <alignment horizontal="center"/>
      <protection/>
    </xf>
    <xf numFmtId="2" fontId="51" fillId="0" borderId="0" xfId="0" applyNumberFormat="1" applyFont="1" applyFill="1" applyBorder="1" applyAlignment="1" applyProtection="1">
      <alignment horizontal="center"/>
      <protection/>
    </xf>
    <xf numFmtId="0" fontId="66" fillId="0" borderId="0" xfId="0" applyFont="1" applyFill="1" applyAlignment="1">
      <alignment/>
    </xf>
    <xf numFmtId="2" fontId="51" fillId="0" borderId="0" xfId="0" applyNumberFormat="1" applyFont="1" applyFill="1" applyAlignment="1">
      <alignment/>
    </xf>
    <xf numFmtId="172" fontId="51" fillId="0" borderId="0" xfId="0" applyNumberFormat="1" applyFont="1" applyFill="1" applyBorder="1" applyAlignment="1" applyProtection="1">
      <alignment/>
      <protection/>
    </xf>
    <xf numFmtId="172" fontId="65" fillId="0" borderId="0" xfId="0" applyNumberFormat="1" applyFont="1" applyFill="1" applyBorder="1" applyAlignment="1" applyProtection="1">
      <alignment/>
      <protection/>
    </xf>
    <xf numFmtId="10" fontId="51" fillId="0" borderId="0" xfId="21" applyNumberFormat="1" applyFont="1" applyFill="1" applyBorder="1" applyAlignment="1" applyProtection="1">
      <alignment horizontal="center"/>
      <protection/>
    </xf>
    <xf numFmtId="172" fontId="66" fillId="0" borderId="0" xfId="0" applyNumberFormat="1" applyFont="1" applyFill="1" applyBorder="1" applyAlignment="1" applyProtection="1">
      <alignment/>
      <protection/>
    </xf>
    <xf numFmtId="10" fontId="66" fillId="0" borderId="0" xfId="21" applyNumberFormat="1" applyFont="1" applyFill="1" applyAlignment="1">
      <alignment/>
    </xf>
    <xf numFmtId="0" fontId="29" fillId="3" borderId="0" xfId="0" applyFont="1" applyFill="1" applyBorder="1" applyAlignment="1" applyProtection="1">
      <alignment/>
      <protection/>
    </xf>
    <xf numFmtId="0" fontId="2" fillId="3" borderId="0" xfId="0" applyFont="1" applyFill="1" applyBorder="1" applyAlignment="1" applyProtection="1">
      <alignment/>
      <protection/>
    </xf>
    <xf numFmtId="0" fontId="0" fillId="4" borderId="0" xfId="0" applyFill="1" applyAlignment="1">
      <alignment/>
    </xf>
    <xf numFmtId="0" fontId="29" fillId="4" borderId="0" xfId="0" applyFont="1" applyFill="1" applyBorder="1" applyAlignment="1" applyProtection="1">
      <alignment/>
      <protection/>
    </xf>
    <xf numFmtId="0" fontId="2" fillId="4" borderId="0" xfId="0" applyFont="1" applyFill="1" applyBorder="1" applyAlignment="1" applyProtection="1">
      <alignment/>
      <protection/>
    </xf>
    <xf numFmtId="0" fontId="0" fillId="4" borderId="0" xfId="0" applyFill="1" applyBorder="1" applyAlignment="1" applyProtection="1">
      <alignment horizontal="right"/>
      <protection/>
    </xf>
    <xf numFmtId="172" fontId="0" fillId="4" borderId="0" xfId="0" applyNumberFormat="1" applyFill="1" applyBorder="1" applyAlignment="1" applyProtection="1">
      <alignment/>
      <protection/>
    </xf>
    <xf numFmtId="2" fontId="18" fillId="4" borderId="0" xfId="0" applyNumberFormat="1" applyFont="1" applyFill="1" applyBorder="1" applyAlignment="1" applyProtection="1">
      <alignment horizontal="right"/>
      <protection/>
    </xf>
    <xf numFmtId="172" fontId="25" fillId="4" borderId="0" xfId="0" applyNumberFormat="1" applyFont="1" applyFill="1" applyBorder="1" applyAlignment="1" applyProtection="1">
      <alignment/>
      <protection/>
    </xf>
    <xf numFmtId="10" fontId="25" fillId="4" borderId="0" xfId="21" applyNumberFormat="1" applyFont="1" applyFill="1" applyBorder="1" applyAlignment="1" applyProtection="1">
      <alignment horizontal="right"/>
      <protection/>
    </xf>
    <xf numFmtId="0" fontId="2" fillId="4" borderId="0" xfId="0" applyFont="1" applyFill="1" applyBorder="1" applyAlignment="1" applyProtection="1">
      <alignment horizontal="right"/>
      <protection/>
    </xf>
    <xf numFmtId="0" fontId="41" fillId="3" borderId="0" xfId="0" applyFont="1" applyFill="1" applyBorder="1" applyAlignment="1" applyProtection="1">
      <alignment/>
      <protection/>
    </xf>
    <xf numFmtId="172" fontId="65" fillId="3" borderId="0" xfId="0" applyNumberFormat="1" applyFont="1" applyFill="1" applyBorder="1" applyAlignment="1" applyProtection="1">
      <alignment/>
      <protection/>
    </xf>
    <xf numFmtId="0" fontId="41" fillId="4" borderId="0" xfId="0" applyFont="1" applyFill="1" applyBorder="1" applyAlignment="1" applyProtection="1">
      <alignment/>
      <protection/>
    </xf>
    <xf numFmtId="0" fontId="0" fillId="6" borderId="0" xfId="0" applyFill="1" applyAlignment="1">
      <alignment/>
    </xf>
    <xf numFmtId="0" fontId="29" fillId="6" borderId="0" xfId="0" applyFont="1" applyFill="1" applyBorder="1" applyAlignment="1" applyProtection="1">
      <alignment/>
      <protection/>
    </xf>
    <xf numFmtId="0" fontId="2" fillId="6" borderId="0" xfId="0" applyFont="1" applyFill="1" applyBorder="1" applyAlignment="1" applyProtection="1">
      <alignment/>
      <protection/>
    </xf>
    <xf numFmtId="2" fontId="0" fillId="6" borderId="0" xfId="0" applyNumberFormat="1" applyFill="1" applyBorder="1" applyAlignment="1" applyProtection="1">
      <alignment/>
      <protection/>
    </xf>
    <xf numFmtId="0" fontId="0" fillId="6" borderId="0" xfId="0" applyFill="1" applyBorder="1" applyAlignment="1" applyProtection="1">
      <alignment horizontal="right"/>
      <protection/>
    </xf>
    <xf numFmtId="172" fontId="2" fillId="6" borderId="0" xfId="0" applyNumberFormat="1" applyFont="1" applyFill="1" applyBorder="1" applyAlignment="1" applyProtection="1">
      <alignment/>
      <protection/>
    </xf>
    <xf numFmtId="2" fontId="34" fillId="6" borderId="0" xfId="0" applyNumberFormat="1" applyFont="1" applyFill="1" applyBorder="1" applyAlignment="1" applyProtection="1">
      <alignment horizontal="center"/>
      <protection/>
    </xf>
    <xf numFmtId="10" fontId="34" fillId="6" borderId="0" xfId="21" applyNumberFormat="1" applyFont="1" applyFill="1" applyBorder="1" applyAlignment="1" applyProtection="1">
      <alignment horizontal="center"/>
      <protection/>
    </xf>
    <xf numFmtId="0" fontId="41" fillId="6" borderId="0" xfId="0" applyFont="1" applyFill="1" applyBorder="1" applyAlignment="1" applyProtection="1">
      <alignment/>
      <protection/>
    </xf>
    <xf numFmtId="0" fontId="0" fillId="6" borderId="0" xfId="0" applyFill="1" applyBorder="1" applyAlignment="1">
      <alignment/>
    </xf>
    <xf numFmtId="172" fontId="0" fillId="6" borderId="0" xfId="0" applyNumberFormat="1" applyFill="1" applyBorder="1" applyAlignment="1" applyProtection="1">
      <alignment/>
      <protection/>
    </xf>
    <xf numFmtId="2" fontId="18" fillId="6" borderId="0" xfId="0" applyNumberFormat="1" applyFont="1" applyFill="1" applyBorder="1" applyAlignment="1" applyProtection="1">
      <alignment horizontal="right"/>
      <protection/>
    </xf>
    <xf numFmtId="172" fontId="25" fillId="6" borderId="0" xfId="0" applyNumberFormat="1" applyFont="1" applyFill="1" applyBorder="1" applyAlignment="1" applyProtection="1">
      <alignment/>
      <protection/>
    </xf>
    <xf numFmtId="10" fontId="25" fillId="6" borderId="0" xfId="21" applyNumberFormat="1" applyFont="1" applyFill="1" applyBorder="1" applyAlignment="1" applyProtection="1">
      <alignment horizontal="right"/>
      <protection/>
    </xf>
    <xf numFmtId="0" fontId="2" fillId="6" borderId="0" xfId="0" applyFont="1" applyFill="1" applyBorder="1" applyAlignment="1" applyProtection="1">
      <alignment horizontal="right"/>
      <protection/>
    </xf>
    <xf numFmtId="0" fontId="0" fillId="16" borderId="0" xfId="0" applyFill="1" applyBorder="1" applyAlignment="1">
      <alignment/>
    </xf>
    <xf numFmtId="0" fontId="0" fillId="16" borderId="0" xfId="0" applyFill="1" applyAlignment="1">
      <alignment/>
    </xf>
    <xf numFmtId="0" fontId="29" fillId="16" borderId="0" xfId="0" applyFont="1" applyFill="1" applyBorder="1" applyAlignment="1" applyProtection="1">
      <alignment/>
      <protection/>
    </xf>
    <xf numFmtId="0" fontId="2" fillId="16" borderId="0" xfId="0" applyFont="1" applyFill="1" applyBorder="1" applyAlignment="1" applyProtection="1">
      <alignment/>
      <protection/>
    </xf>
    <xf numFmtId="2" fontId="0" fillId="16" borderId="0" xfId="0" applyNumberFormat="1" applyFill="1" applyBorder="1" applyAlignment="1" applyProtection="1">
      <alignment/>
      <protection/>
    </xf>
    <xf numFmtId="0" fontId="0" fillId="16" borderId="0" xfId="0" applyFill="1" applyBorder="1" applyAlignment="1" applyProtection="1">
      <alignment horizontal="right"/>
      <protection/>
    </xf>
    <xf numFmtId="172" fontId="2" fillId="16" borderId="0" xfId="0" applyNumberFormat="1" applyFont="1" applyFill="1" applyBorder="1" applyAlignment="1" applyProtection="1">
      <alignment/>
      <protection/>
    </xf>
    <xf numFmtId="2" fontId="34" fillId="16" borderId="0" xfId="0" applyNumberFormat="1" applyFont="1" applyFill="1" applyBorder="1" applyAlignment="1" applyProtection="1">
      <alignment horizontal="center"/>
      <protection/>
    </xf>
    <xf numFmtId="172" fontId="0" fillId="16" borderId="0" xfId="0" applyNumberFormat="1" applyFill="1" applyBorder="1" applyAlignment="1" applyProtection="1">
      <alignment/>
      <protection/>
    </xf>
    <xf numFmtId="2" fontId="18" fillId="16" borderId="0" xfId="0" applyNumberFormat="1" applyFont="1" applyFill="1" applyBorder="1" applyAlignment="1" applyProtection="1">
      <alignment horizontal="right"/>
      <protection/>
    </xf>
    <xf numFmtId="172" fontId="25" fillId="16" borderId="0" xfId="0" applyNumberFormat="1" applyFont="1" applyFill="1" applyBorder="1" applyAlignment="1" applyProtection="1">
      <alignment/>
      <protection/>
    </xf>
    <xf numFmtId="10" fontId="25" fillId="16" borderId="0" xfId="21" applyNumberFormat="1" applyFont="1" applyFill="1" applyBorder="1" applyAlignment="1" applyProtection="1">
      <alignment horizontal="right"/>
      <protection/>
    </xf>
    <xf numFmtId="0" fontId="41" fillId="16" borderId="0" xfId="0" applyFont="1" applyFill="1" applyBorder="1" applyAlignment="1" applyProtection="1">
      <alignment/>
      <protection/>
    </xf>
    <xf numFmtId="0" fontId="2" fillId="16" borderId="0" xfId="0" applyFont="1" applyFill="1" applyBorder="1" applyAlignment="1" applyProtection="1">
      <alignment horizontal="right"/>
      <protection/>
    </xf>
    <xf numFmtId="0" fontId="5" fillId="15" borderId="0" xfId="0" applyFont="1" applyFill="1" applyAlignment="1">
      <alignment/>
    </xf>
    <xf numFmtId="0" fontId="58" fillId="15" borderId="0" xfId="0" applyFont="1" applyFill="1" applyAlignment="1">
      <alignment/>
    </xf>
    <xf numFmtId="0" fontId="68" fillId="0" borderId="0" xfId="0" applyFont="1" applyAlignment="1" applyProtection="1">
      <alignment/>
      <protection/>
    </xf>
    <xf numFmtId="171" fontId="0" fillId="0" borderId="0" xfId="17" applyFont="1" applyFill="1" applyAlignment="1" applyProtection="1">
      <alignment/>
      <protection/>
    </xf>
    <xf numFmtId="2" fontId="46" fillId="11" borderId="0" xfId="0" applyNumberFormat="1" applyFont="1" applyFill="1" applyBorder="1" applyAlignment="1" applyProtection="1">
      <alignment horizontal="left"/>
      <protection/>
    </xf>
    <xf numFmtId="0" fontId="23" fillId="8" borderId="57" xfId="0" applyFont="1" applyFill="1" applyBorder="1" applyAlignment="1" applyProtection="1">
      <alignment horizontal="left"/>
      <protection/>
    </xf>
    <xf numFmtId="0" fontId="23" fillId="8" borderId="13" xfId="0" applyFont="1" applyFill="1" applyBorder="1" applyAlignment="1" applyProtection="1">
      <alignment horizontal="left"/>
      <protection/>
    </xf>
    <xf numFmtId="0" fontId="69" fillId="8" borderId="14" xfId="0" applyFont="1" applyFill="1" applyBorder="1" applyAlignment="1" applyProtection="1">
      <alignment horizontal="left"/>
      <protection/>
    </xf>
    <xf numFmtId="0" fontId="23" fillId="8" borderId="0" xfId="0" applyFont="1" applyFill="1" applyBorder="1" applyAlignment="1" applyProtection="1">
      <alignment horizontal="left"/>
      <protection/>
    </xf>
    <xf numFmtId="0" fontId="23" fillId="8" borderId="15" xfId="0" applyFont="1" applyFill="1" applyBorder="1" applyAlignment="1" applyProtection="1">
      <alignment horizontal="left"/>
      <protection/>
    </xf>
    <xf numFmtId="0" fontId="23" fillId="8" borderId="27" xfId="0" applyFont="1" applyFill="1" applyBorder="1" applyAlignment="1" applyProtection="1">
      <alignment horizontal="left"/>
      <protection/>
    </xf>
    <xf numFmtId="0" fontId="23" fillId="8" borderId="17" xfId="0" applyFont="1" applyFill="1" applyBorder="1" applyAlignment="1" applyProtection="1">
      <alignment horizontal="left"/>
      <protection/>
    </xf>
    <xf numFmtId="2" fontId="22" fillId="0" borderId="2" xfId="0" applyNumberFormat="1" applyFont="1" applyBorder="1" applyAlignment="1" applyProtection="1">
      <alignment horizontal="left"/>
      <protection locked="0"/>
    </xf>
    <xf numFmtId="0" fontId="70" fillId="0" borderId="0" xfId="0" applyFont="1" applyAlignment="1" applyProtection="1">
      <alignment/>
      <protection/>
    </xf>
    <xf numFmtId="2" fontId="22" fillId="0" borderId="2" xfId="0" applyNumberFormat="1" applyFont="1" applyBorder="1" applyAlignment="1" applyProtection="1">
      <alignment horizontal="right"/>
      <protection locked="0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2" fontId="2" fillId="0" borderId="0" xfId="0" applyNumberFormat="1" applyFont="1" applyAlignment="1">
      <alignment horizontal="center"/>
    </xf>
    <xf numFmtId="2" fontId="0" fillId="0" borderId="4" xfId="0" applyNumberFormat="1" applyBorder="1" applyAlignment="1">
      <alignment horizontal="left"/>
    </xf>
    <xf numFmtId="2" fontId="0" fillId="0" borderId="5" xfId="0" applyNumberFormat="1" applyBorder="1" applyAlignment="1">
      <alignment horizontal="left"/>
    </xf>
    <xf numFmtId="2" fontId="2" fillId="0" borderId="5" xfId="0" applyNumberFormat="1" applyFont="1" applyBorder="1" applyAlignment="1">
      <alignment horizontal="center"/>
    </xf>
    <xf numFmtId="2" fontId="0" fillId="0" borderId="5" xfId="0" applyNumberFormat="1" applyBorder="1" applyAlignment="1">
      <alignment horizontal="right"/>
    </xf>
    <xf numFmtId="2" fontId="2" fillId="0" borderId="6" xfId="0" applyNumberFormat="1" applyFont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V&#237;ctor\Configuraci&#243;n%20local\Archivos%20temporales%20de%20Internet\Content.IE5\FGZ6KQKF\simulad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p 24 feb 06"/>
      <sheetName val="Jubilad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" TargetMode="External" /><Relationship Id="rId2" Type="http://schemas.openxmlformats.org/officeDocument/2006/relationships/hyperlink" Target="." TargetMode="External" /><Relationship Id="rId3" Type="http://schemas.openxmlformats.org/officeDocument/2006/relationships/hyperlink" Target="http://www.celestecompromiso.com.ar/" TargetMode="External" /><Relationship Id="rId4" Type="http://schemas.openxmlformats.org/officeDocument/2006/relationships/hyperlink" Target="http://www.celestecompromiso.com.ar/" TargetMode="External" /><Relationship Id="rId5" Type="http://schemas.openxmlformats.org/officeDocument/2006/relationships/hyperlink" Target="mailto:victorhutt@victorhutt.com.ar" TargetMode="External" /><Relationship Id="rId6" Type="http://schemas.openxmlformats.org/officeDocument/2006/relationships/hyperlink" Target="mailto:victorhutt@victorhutt.com.ar" TargetMode="External" /><Relationship Id="rId7" Type="http://schemas.openxmlformats.org/officeDocument/2006/relationships/comments" Target="../comments1.xml" /><Relationship Id="rId8" Type="http://schemas.openxmlformats.org/officeDocument/2006/relationships/vmlDrawing" Target="../drawings/vmlDrawing1.vm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" TargetMode="External" /><Relationship Id="rId2" Type="http://schemas.openxmlformats.org/officeDocument/2006/relationships/hyperlink" Target="http://www.celestecompromiso.com.ar/" TargetMode="External" /><Relationship Id="rId3" Type="http://schemas.openxmlformats.org/officeDocument/2006/relationships/hyperlink" Target="mailto:victorhutt@victorhutt.com.ar" TargetMode="External" /><Relationship Id="rId4" Type="http://schemas.openxmlformats.org/officeDocument/2006/relationships/comments" Target="../comments2.xml" /><Relationship Id="rId5" Type="http://schemas.openxmlformats.org/officeDocument/2006/relationships/vmlDrawing" Target="../drawings/vmlDrawing2.v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2:IU217"/>
  <sheetViews>
    <sheetView showGridLines="0" tabSelected="1" zoomScale="75" zoomScaleNormal="75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11.8515625" style="11" customWidth="1"/>
    <col min="3" max="3" width="17.57421875" style="11" customWidth="1"/>
    <col min="4" max="4" width="23.57421875" style="11" customWidth="1"/>
    <col min="5" max="5" width="15.28125" style="11" customWidth="1"/>
    <col min="6" max="6" width="18.00390625" style="11" customWidth="1"/>
    <col min="7" max="7" width="17.8515625" style="11" customWidth="1"/>
    <col min="8" max="8" width="23.57421875" style="11" customWidth="1"/>
    <col min="9" max="9" width="12.7109375" style="11" customWidth="1"/>
    <col min="10" max="10" width="22.8515625" style="11" customWidth="1"/>
    <col min="11" max="11" width="14.7109375" style="11" customWidth="1"/>
    <col min="12" max="12" width="21.00390625" style="11" customWidth="1"/>
    <col min="13" max="13" width="20.140625" style="11" customWidth="1"/>
    <col min="14" max="14" width="20.00390625" style="11" customWidth="1"/>
    <col min="15" max="15" width="21.57421875" style="11" customWidth="1"/>
    <col min="16" max="20" width="11.421875" style="11" customWidth="1"/>
    <col min="21" max="21" width="16.00390625" style="11" bestFit="1" customWidth="1"/>
    <col min="22" max="24" width="11.421875" style="11" customWidth="1"/>
    <col min="25" max="25" width="13.28125" style="11" customWidth="1"/>
    <col min="26" max="16384" width="11.421875" style="11" customWidth="1"/>
  </cols>
  <sheetData>
    <row r="1" ht="13.5" thickBot="1"/>
    <row r="2" spans="1:11" ht="18">
      <c r="A2" s="2"/>
      <c r="B2" s="49"/>
      <c r="C2" s="356" t="s">
        <v>464</v>
      </c>
      <c r="D2" s="436"/>
      <c r="E2" s="436"/>
      <c r="F2" s="437"/>
      <c r="G2" s="355"/>
      <c r="H2" s="3"/>
      <c r="I2" s="4"/>
      <c r="J2" s="1"/>
      <c r="K2" s="2"/>
    </row>
    <row r="3" spans="1:11" ht="18">
      <c r="A3" s="2"/>
      <c r="B3" s="49"/>
      <c r="C3" s="438" t="s">
        <v>465</v>
      </c>
      <c r="D3" s="439"/>
      <c r="E3" s="439"/>
      <c r="F3" s="440"/>
      <c r="G3" s="355"/>
      <c r="H3" s="3"/>
      <c r="I3" s="4"/>
      <c r="J3" s="1"/>
      <c r="K3" s="2"/>
    </row>
    <row r="4" spans="1:11" ht="18.75" thickBot="1">
      <c r="A4" s="2"/>
      <c r="B4" s="49"/>
      <c r="C4" s="357" t="s">
        <v>406</v>
      </c>
      <c r="D4" s="441"/>
      <c r="E4" s="441"/>
      <c r="F4" s="442"/>
      <c r="G4" s="355"/>
      <c r="H4" s="3"/>
      <c r="I4" s="4"/>
      <c r="J4" s="1"/>
      <c r="K4" s="2"/>
    </row>
    <row r="5" spans="1:11" ht="15">
      <c r="A5" s="2"/>
      <c r="B5" s="1"/>
      <c r="C5" s="288" t="s">
        <v>426</v>
      </c>
      <c r="D5" s="2"/>
      <c r="E5" s="5"/>
      <c r="F5" s="2"/>
      <c r="G5" s="6"/>
      <c r="H5" s="7"/>
      <c r="I5" s="4"/>
      <c r="J5" s="2"/>
      <c r="K5" s="2"/>
    </row>
    <row r="6" spans="1:11" ht="13.5" thickBot="1">
      <c r="A6" s="2"/>
      <c r="B6" s="1"/>
      <c r="C6" s="1"/>
      <c r="D6" s="2"/>
      <c r="E6" s="1"/>
      <c r="F6" s="2"/>
      <c r="G6" s="6"/>
      <c r="H6" s="1"/>
      <c r="I6" s="4"/>
      <c r="J6" s="1"/>
      <c r="K6" s="2"/>
    </row>
    <row r="7" spans="1:11" ht="18.75" thickBot="1">
      <c r="A7" s="2"/>
      <c r="B7" s="6"/>
      <c r="C7" s="55" t="s">
        <v>0</v>
      </c>
      <c r="D7" s="54" t="s">
        <v>1</v>
      </c>
      <c r="E7" s="56"/>
      <c r="F7" s="55" t="s">
        <v>0</v>
      </c>
      <c r="G7" s="47"/>
      <c r="H7" s="8"/>
      <c r="I7" s="4"/>
      <c r="J7" s="8"/>
      <c r="K7" s="2"/>
    </row>
    <row r="8" spans="1:11" ht="18">
      <c r="A8" s="2"/>
      <c r="B8" s="2"/>
      <c r="C8" s="2"/>
      <c r="D8" s="57" t="s">
        <v>366</v>
      </c>
      <c r="E8" s="58"/>
      <c r="F8" s="46"/>
      <c r="G8" s="46"/>
      <c r="H8" s="1"/>
      <c r="I8" s="2"/>
      <c r="J8" s="1"/>
      <c r="K8" s="2"/>
    </row>
    <row r="9" spans="1:11" ht="18">
      <c r="A9" s="2"/>
      <c r="B9" s="2"/>
      <c r="C9" s="2"/>
      <c r="D9" s="57" t="s">
        <v>2</v>
      </c>
      <c r="E9" s="58"/>
      <c r="F9" s="46"/>
      <c r="G9" s="46"/>
      <c r="H9" s="1"/>
      <c r="I9" s="2"/>
      <c r="J9" s="1"/>
      <c r="K9" s="2"/>
    </row>
    <row r="10" spans="1:11" ht="18.75" thickBot="1">
      <c r="A10" s="2"/>
      <c r="B10" s="1"/>
      <c r="C10" s="4"/>
      <c r="D10" s="57" t="s">
        <v>3</v>
      </c>
      <c r="E10" s="58"/>
      <c r="F10" s="46"/>
      <c r="G10" s="48"/>
      <c r="H10" s="9"/>
      <c r="I10" s="4"/>
      <c r="J10" s="8"/>
      <c r="K10" s="2"/>
    </row>
    <row r="11" spans="1:11" ht="18.75" thickBot="1">
      <c r="A11" s="2"/>
      <c r="B11" s="1"/>
      <c r="C11" s="55" t="s">
        <v>0</v>
      </c>
      <c r="D11" s="59" t="s">
        <v>382</v>
      </c>
      <c r="E11" s="60"/>
      <c r="F11" s="55" t="s">
        <v>0</v>
      </c>
      <c r="G11" s="14"/>
      <c r="H11" s="9"/>
      <c r="I11" s="4"/>
      <c r="J11" s="8"/>
      <c r="K11" s="2"/>
    </row>
    <row r="12" spans="1:11" ht="15.75">
      <c r="A12" s="2"/>
      <c r="B12" s="1"/>
      <c r="C12" s="1"/>
      <c r="D12" s="4"/>
      <c r="E12" s="61"/>
      <c r="F12" s="2"/>
      <c r="G12" s="1"/>
      <c r="H12" s="9"/>
      <c r="I12" s="4"/>
      <c r="J12" s="8"/>
      <c r="K12" s="2"/>
    </row>
    <row r="13" spans="1:11" ht="12.75">
      <c r="A13" s="2"/>
      <c r="B13" s="2"/>
      <c r="C13" s="2"/>
      <c r="D13" s="2"/>
      <c r="E13" s="2"/>
      <c r="F13" s="2"/>
      <c r="G13" s="10"/>
      <c r="H13" s="1"/>
      <c r="I13" s="10"/>
      <c r="J13" s="2"/>
      <c r="K13" s="2"/>
    </row>
    <row r="14" spans="1:7" s="12" customFormat="1" ht="13.5" thickBot="1">
      <c r="A14" s="62"/>
      <c r="B14" s="62"/>
      <c r="C14" s="62"/>
      <c r="D14" s="63"/>
      <c r="E14" s="64"/>
      <c r="F14" s="11"/>
      <c r="G14" s="11"/>
    </row>
    <row r="15" spans="1:255" s="12" customFormat="1" ht="24.75" thickBot="1" thickTop="1">
      <c r="A15" s="65" t="s">
        <v>4</v>
      </c>
      <c r="B15" s="66"/>
      <c r="C15" s="67" t="s">
        <v>5</v>
      </c>
      <c r="D15" s="68" t="s">
        <v>5</v>
      </c>
      <c r="E15" s="69" t="s">
        <v>5</v>
      </c>
      <c r="F15" s="11"/>
      <c r="G15" s="11"/>
      <c r="I15" s="70"/>
      <c r="K15" s="71"/>
      <c r="L15" s="72"/>
      <c r="M15" s="73"/>
      <c r="Q15" s="70"/>
      <c r="S15" s="71"/>
      <c r="T15" s="71"/>
      <c r="U15" s="71"/>
      <c r="V15" s="71"/>
      <c r="W15" s="71"/>
      <c r="X15" s="72"/>
      <c r="Y15" s="73"/>
      <c r="AC15" s="70"/>
      <c r="AE15" s="71"/>
      <c r="AF15" s="72"/>
      <c r="AG15" s="73"/>
      <c r="AK15" s="70"/>
      <c r="AM15" s="71"/>
      <c r="AN15" s="72"/>
      <c r="AO15" s="73"/>
      <c r="AS15" s="70"/>
      <c r="AU15" s="71"/>
      <c r="AV15" s="72"/>
      <c r="AW15" s="73"/>
      <c r="BA15" s="70"/>
      <c r="BC15" s="71"/>
      <c r="BD15" s="72"/>
      <c r="BE15" s="73"/>
      <c r="BI15" s="70"/>
      <c r="BK15" s="71"/>
      <c r="BL15" s="72"/>
      <c r="BM15" s="73"/>
      <c r="BQ15" s="70"/>
      <c r="BS15" s="71"/>
      <c r="BT15" s="72"/>
      <c r="BU15" s="73"/>
      <c r="BY15" s="70"/>
      <c r="CA15" s="71"/>
      <c r="CB15" s="72"/>
      <c r="CC15" s="73"/>
      <c r="CG15" s="70"/>
      <c r="CI15" s="71"/>
      <c r="CJ15" s="72"/>
      <c r="CK15" s="73"/>
      <c r="CO15" s="70"/>
      <c r="CQ15" s="71"/>
      <c r="CR15" s="72"/>
      <c r="CS15" s="73"/>
      <c r="CW15" s="70"/>
      <c r="CY15" s="71"/>
      <c r="CZ15" s="72"/>
      <c r="DA15" s="73"/>
      <c r="DE15" s="70"/>
      <c r="DG15" s="71"/>
      <c r="DH15" s="72"/>
      <c r="DI15" s="73"/>
      <c r="DM15" s="70"/>
      <c r="DO15" s="71"/>
      <c r="DP15" s="72"/>
      <c r="DQ15" s="73"/>
      <c r="DU15" s="70"/>
      <c r="DW15" s="71"/>
      <c r="DX15" s="72"/>
      <c r="DY15" s="73"/>
      <c r="EC15" s="70"/>
      <c r="EE15" s="71"/>
      <c r="EF15" s="72"/>
      <c r="EG15" s="73"/>
      <c r="EK15" s="70"/>
      <c r="EM15" s="71"/>
      <c r="EN15" s="72"/>
      <c r="EO15" s="73"/>
      <c r="ES15" s="70"/>
      <c r="EU15" s="71"/>
      <c r="EV15" s="72"/>
      <c r="EW15" s="73"/>
      <c r="FA15" s="70"/>
      <c r="FC15" s="71"/>
      <c r="FD15" s="72"/>
      <c r="FE15" s="73"/>
      <c r="FI15" s="70"/>
      <c r="FK15" s="71"/>
      <c r="FL15" s="72"/>
      <c r="FM15" s="73"/>
      <c r="FQ15" s="70"/>
      <c r="FS15" s="71"/>
      <c r="FT15" s="72"/>
      <c r="FU15" s="73"/>
      <c r="FY15" s="70"/>
      <c r="GA15" s="71"/>
      <c r="GB15" s="72"/>
      <c r="GC15" s="73"/>
      <c r="GG15" s="70"/>
      <c r="GI15" s="71"/>
      <c r="GJ15" s="72"/>
      <c r="GK15" s="73"/>
      <c r="GO15" s="70"/>
      <c r="GQ15" s="71"/>
      <c r="GR15" s="72"/>
      <c r="GS15" s="73"/>
      <c r="GW15" s="70"/>
      <c r="GY15" s="71"/>
      <c r="GZ15" s="72"/>
      <c r="HA15" s="73"/>
      <c r="HE15" s="70"/>
      <c r="HG15" s="71"/>
      <c r="HH15" s="72"/>
      <c r="HI15" s="73"/>
      <c r="HM15" s="70"/>
      <c r="HO15" s="71"/>
      <c r="HP15" s="72"/>
      <c r="HQ15" s="73"/>
      <c r="HU15" s="70"/>
      <c r="HW15" s="71"/>
      <c r="HX15" s="72"/>
      <c r="HY15" s="73"/>
      <c r="IC15" s="70"/>
      <c r="IE15" s="71"/>
      <c r="IF15" s="72"/>
      <c r="IG15" s="73"/>
      <c r="IK15" s="70"/>
      <c r="IM15" s="71"/>
      <c r="IN15" s="72"/>
      <c r="IO15" s="73"/>
      <c r="IS15" s="70"/>
      <c r="IU15" s="71"/>
    </row>
    <row r="16" spans="1:253" s="12" customFormat="1" ht="20.25">
      <c r="A16" s="74"/>
      <c r="B16" s="75"/>
      <c r="C16" s="75"/>
      <c r="D16" s="63"/>
      <c r="E16" s="64"/>
      <c r="F16" s="11"/>
      <c r="G16" s="11"/>
      <c r="I16" s="76"/>
      <c r="Q16" s="76"/>
      <c r="AC16" s="76"/>
      <c r="AK16" s="76"/>
      <c r="AS16" s="76"/>
      <c r="BA16" s="76"/>
      <c r="BI16" s="76"/>
      <c r="BQ16" s="76"/>
      <c r="BY16" s="76"/>
      <c r="CG16" s="76"/>
      <c r="CO16" s="76"/>
      <c r="CW16" s="76"/>
      <c r="DE16" s="76"/>
      <c r="DM16" s="76"/>
      <c r="DU16" s="76"/>
      <c r="EC16" s="76"/>
      <c r="EK16" s="76"/>
      <c r="ES16" s="76"/>
      <c r="FA16" s="76"/>
      <c r="FI16" s="76"/>
      <c r="FQ16" s="76"/>
      <c r="FY16" s="76"/>
      <c r="GG16" s="76"/>
      <c r="GO16" s="76"/>
      <c r="GW16" s="76"/>
      <c r="HE16" s="76"/>
      <c r="HM16" s="76"/>
      <c r="HU16" s="76"/>
      <c r="IC16" s="76"/>
      <c r="IK16" s="76"/>
      <c r="IS16" s="76"/>
    </row>
    <row r="17" spans="1:253" s="12" customFormat="1" ht="15">
      <c r="A17" s="77"/>
      <c r="B17" s="78"/>
      <c r="C17" s="78"/>
      <c r="D17" s="78"/>
      <c r="E17" s="78"/>
      <c r="F17" s="78"/>
      <c r="G17" s="78"/>
      <c r="I17" s="79"/>
      <c r="Q17" s="79"/>
      <c r="AC17" s="79"/>
      <c r="AK17" s="79"/>
      <c r="AS17" s="79"/>
      <c r="BA17" s="79"/>
      <c r="BI17" s="79"/>
      <c r="BQ17" s="79"/>
      <c r="BY17" s="79"/>
      <c r="CG17" s="79"/>
      <c r="CO17" s="79"/>
      <c r="CW17" s="79"/>
      <c r="DE17" s="79"/>
      <c r="DM17" s="79"/>
      <c r="DU17" s="79"/>
      <c r="EC17" s="79"/>
      <c r="EK17" s="79"/>
      <c r="ES17" s="79"/>
      <c r="FA17" s="79"/>
      <c r="FI17" s="79"/>
      <c r="FQ17" s="79"/>
      <c r="FY17" s="79"/>
      <c r="GG17" s="79"/>
      <c r="GO17" s="79"/>
      <c r="GW17" s="79"/>
      <c r="HE17" s="79"/>
      <c r="HM17" s="79"/>
      <c r="HU17" s="79"/>
      <c r="IC17" s="79"/>
      <c r="IK17" s="79"/>
      <c r="IS17" s="79"/>
    </row>
    <row r="18" spans="1:7" s="12" customFormat="1" ht="15">
      <c r="A18" s="80" t="s">
        <v>6</v>
      </c>
      <c r="B18" s="78"/>
      <c r="C18" s="78"/>
      <c r="D18" s="78"/>
      <c r="E18" s="78"/>
      <c r="F18" s="78"/>
      <c r="G18" s="78"/>
    </row>
    <row r="19" spans="1:7" s="12" customFormat="1" ht="14.25">
      <c r="A19" s="80"/>
      <c r="B19" s="78"/>
      <c r="C19" s="78"/>
      <c r="D19" s="78"/>
      <c r="E19" s="78"/>
      <c r="F19" s="78"/>
      <c r="G19" s="78"/>
    </row>
    <row r="20" spans="1:7" s="12" customFormat="1" ht="15">
      <c r="A20" s="80" t="s">
        <v>7</v>
      </c>
      <c r="B20" s="78"/>
      <c r="C20" s="78"/>
      <c r="D20" s="78"/>
      <c r="E20" s="78"/>
      <c r="F20" s="78"/>
      <c r="G20" s="78"/>
    </row>
    <row r="21" spans="1:7" s="12" customFormat="1" ht="14.25">
      <c r="A21" s="80"/>
      <c r="B21" s="78"/>
      <c r="C21" s="78"/>
      <c r="D21" s="78"/>
      <c r="E21" s="78"/>
      <c r="F21" s="78"/>
      <c r="G21" s="78"/>
    </row>
    <row r="22" spans="1:7" s="12" customFormat="1" ht="14.25">
      <c r="A22" s="80" t="s">
        <v>392</v>
      </c>
      <c r="B22" s="78"/>
      <c r="C22" s="78"/>
      <c r="D22" s="78"/>
      <c r="E22" s="78"/>
      <c r="F22" s="78"/>
      <c r="G22" s="78"/>
    </row>
    <row r="23" spans="1:7" s="12" customFormat="1" ht="14.25">
      <c r="A23" s="80" t="s">
        <v>391</v>
      </c>
      <c r="B23" s="78"/>
      <c r="C23" s="78"/>
      <c r="D23" s="78"/>
      <c r="E23" s="78"/>
      <c r="F23" s="78"/>
      <c r="G23" s="78"/>
    </row>
    <row r="24" spans="1:7" s="12" customFormat="1" ht="14.25">
      <c r="A24" s="80"/>
      <c r="B24" s="78"/>
      <c r="C24" s="78"/>
      <c r="D24" s="78"/>
      <c r="E24" s="78"/>
      <c r="F24" s="78"/>
      <c r="G24" s="78"/>
    </row>
    <row r="25" spans="1:7" s="12" customFormat="1" ht="14.25">
      <c r="A25" s="80" t="s">
        <v>367</v>
      </c>
      <c r="B25" s="78"/>
      <c r="C25" s="78"/>
      <c r="D25" s="78"/>
      <c r="E25" s="78"/>
      <c r="F25" s="78"/>
      <c r="G25" s="78"/>
    </row>
    <row r="26" spans="1:7" s="12" customFormat="1" ht="14.25">
      <c r="A26" s="80" t="s">
        <v>368</v>
      </c>
      <c r="B26" s="78"/>
      <c r="C26" s="78"/>
      <c r="D26" s="78"/>
      <c r="E26" s="78"/>
      <c r="F26" s="78"/>
      <c r="G26" s="78"/>
    </row>
    <row r="27" spans="1:7" s="12" customFormat="1" ht="14.25">
      <c r="A27" s="80"/>
      <c r="B27" s="78"/>
      <c r="C27" s="78"/>
      <c r="D27" s="78"/>
      <c r="E27" s="78"/>
      <c r="F27" s="78"/>
      <c r="G27" s="78"/>
    </row>
    <row r="28" spans="1:7" s="12" customFormat="1" ht="14.25">
      <c r="A28" s="80" t="s">
        <v>369</v>
      </c>
      <c r="B28" s="78"/>
      <c r="C28" s="78"/>
      <c r="D28" s="78"/>
      <c r="E28" s="78"/>
      <c r="F28" s="78"/>
      <c r="G28" s="78"/>
    </row>
    <row r="29" spans="1:7" s="12" customFormat="1" ht="14.25">
      <c r="A29" s="80" t="s">
        <v>370</v>
      </c>
      <c r="B29" s="78"/>
      <c r="C29" s="78"/>
      <c r="D29" s="78"/>
      <c r="E29" s="78"/>
      <c r="F29" s="78"/>
      <c r="G29" s="78"/>
    </row>
    <row r="30" spans="1:7" s="12" customFormat="1" ht="14.25">
      <c r="A30" s="80" t="s">
        <v>371</v>
      </c>
      <c r="B30" s="78"/>
      <c r="C30" s="78"/>
      <c r="D30" s="78"/>
      <c r="F30" s="78"/>
      <c r="G30" s="78"/>
    </row>
    <row r="31" spans="1:7" s="12" customFormat="1" ht="15.75">
      <c r="A31" s="80"/>
      <c r="B31" s="81" t="s">
        <v>372</v>
      </c>
      <c r="C31" s="78"/>
      <c r="D31" s="78"/>
      <c r="E31" s="81"/>
      <c r="F31" s="78"/>
      <c r="G31" s="78"/>
    </row>
    <row r="32" spans="1:7" s="12" customFormat="1" ht="15.75">
      <c r="A32" s="80"/>
      <c r="B32" s="81"/>
      <c r="C32" s="78"/>
      <c r="D32" s="78"/>
      <c r="E32" s="81"/>
      <c r="F32" s="78"/>
      <c r="G32" s="78"/>
    </row>
    <row r="33" spans="1:7" s="12" customFormat="1" ht="15.75">
      <c r="A33" s="80" t="s">
        <v>374</v>
      </c>
      <c r="B33" s="81"/>
      <c r="C33" s="78"/>
      <c r="D33" s="78"/>
      <c r="E33" s="81"/>
      <c r="F33" s="78"/>
      <c r="G33" s="78"/>
    </row>
    <row r="34" spans="1:7" s="12" customFormat="1" ht="15.75">
      <c r="A34" s="80" t="s">
        <v>375</v>
      </c>
      <c r="B34" s="81"/>
      <c r="C34" s="78"/>
      <c r="D34" s="78"/>
      <c r="E34" s="81"/>
      <c r="F34" s="78"/>
      <c r="G34" s="78"/>
    </row>
    <row r="35" spans="1:7" s="12" customFormat="1" ht="15.75">
      <c r="A35" s="80" t="s">
        <v>376</v>
      </c>
      <c r="B35" s="81"/>
      <c r="C35" s="78"/>
      <c r="D35" s="78"/>
      <c r="E35" s="81"/>
      <c r="F35" s="78"/>
      <c r="G35" s="78"/>
    </row>
    <row r="36" spans="1:7" s="12" customFormat="1" ht="15.75">
      <c r="A36" s="80" t="s">
        <v>377</v>
      </c>
      <c r="B36" s="81"/>
      <c r="C36" s="78"/>
      <c r="D36" s="78"/>
      <c r="E36" s="81"/>
      <c r="F36" s="78"/>
      <c r="G36" s="78"/>
    </row>
    <row r="37" spans="1:7" s="12" customFormat="1" ht="15.75">
      <c r="A37" s="80" t="s">
        <v>378</v>
      </c>
      <c r="B37" s="81"/>
      <c r="C37" s="78"/>
      <c r="D37" s="78"/>
      <c r="E37" s="81"/>
      <c r="F37" s="78"/>
      <c r="G37" s="78"/>
    </row>
    <row r="38" spans="1:7" s="12" customFormat="1" ht="15.75">
      <c r="A38" s="80"/>
      <c r="B38" s="81"/>
      <c r="C38" s="78"/>
      <c r="D38" s="78"/>
      <c r="E38" s="81"/>
      <c r="F38" s="78"/>
      <c r="G38" s="78"/>
    </row>
    <row r="39" spans="1:7" s="12" customFormat="1" ht="14.25">
      <c r="A39" s="80" t="s">
        <v>8</v>
      </c>
      <c r="B39" s="78"/>
      <c r="C39" s="78"/>
      <c r="D39" s="78"/>
      <c r="E39" s="78"/>
      <c r="F39" s="78"/>
      <c r="G39" s="78"/>
    </row>
    <row r="40" spans="1:7" s="12" customFormat="1" ht="14.25">
      <c r="A40" s="80" t="s">
        <v>9</v>
      </c>
      <c r="B40" s="78"/>
      <c r="C40" s="78"/>
      <c r="D40" s="78"/>
      <c r="E40" s="78"/>
      <c r="F40" s="78"/>
      <c r="G40" s="78"/>
    </row>
    <row r="41" spans="1:7" s="12" customFormat="1" ht="14.25">
      <c r="A41" s="80" t="s">
        <v>10</v>
      </c>
      <c r="B41" s="78"/>
      <c r="C41" s="78"/>
      <c r="D41" s="78"/>
      <c r="E41" s="78"/>
      <c r="F41" s="78"/>
      <c r="G41" s="78"/>
    </row>
    <row r="42" spans="1:7" s="12" customFormat="1" ht="14.25">
      <c r="A42" s="80"/>
      <c r="B42" s="78"/>
      <c r="C42" s="78"/>
      <c r="D42" s="78"/>
      <c r="E42" s="78"/>
      <c r="F42" s="78"/>
      <c r="G42" s="78"/>
    </row>
    <row r="43" spans="1:7" s="12" customFormat="1" ht="14.25">
      <c r="A43" s="80" t="s">
        <v>466</v>
      </c>
      <c r="B43" s="78"/>
      <c r="C43" s="78"/>
      <c r="D43" s="78"/>
      <c r="E43" s="78"/>
      <c r="F43" s="78"/>
      <c r="G43" s="78"/>
    </row>
    <row r="44" spans="1:7" s="12" customFormat="1" ht="14.25">
      <c r="A44" s="80"/>
      <c r="B44" s="78"/>
      <c r="C44" s="78"/>
      <c r="D44" s="78"/>
      <c r="E44" s="78"/>
      <c r="F44" s="78"/>
      <c r="G44" s="78"/>
    </row>
    <row r="45" spans="1:7" s="12" customFormat="1" ht="14.25">
      <c r="A45" s="80"/>
      <c r="B45" s="78"/>
      <c r="C45" s="78"/>
      <c r="D45" s="78"/>
      <c r="E45" s="78"/>
      <c r="F45" s="78"/>
      <c r="G45" s="78"/>
    </row>
    <row r="46" spans="1:7" s="12" customFormat="1" ht="14.25">
      <c r="A46" s="80" t="s">
        <v>408</v>
      </c>
      <c r="B46" s="78"/>
      <c r="C46" s="78"/>
      <c r="D46" s="78"/>
      <c r="E46" s="78"/>
      <c r="F46" s="78"/>
      <c r="G46" s="78"/>
    </row>
    <row r="47" spans="1:7" s="12" customFormat="1" ht="15" thickBot="1">
      <c r="A47" s="80"/>
      <c r="B47" s="78"/>
      <c r="C47" s="78"/>
      <c r="D47" s="78"/>
      <c r="E47" s="78"/>
      <c r="F47" s="78"/>
      <c r="G47" s="78"/>
    </row>
    <row r="48" spans="1:7" s="12" customFormat="1" ht="12.75" hidden="1">
      <c r="A48" s="78"/>
      <c r="B48" s="78"/>
      <c r="C48" s="78"/>
      <c r="D48" s="78"/>
      <c r="E48" s="78"/>
      <c r="F48" s="78"/>
      <c r="G48" s="78"/>
    </row>
    <row r="49" spans="1:9" s="12" customFormat="1" ht="16.5" hidden="1" thickBot="1">
      <c r="A49" s="78"/>
      <c r="B49" s="19" t="s">
        <v>34</v>
      </c>
      <c r="C49" s="19">
        <v>0.2725</v>
      </c>
      <c r="D49" s="19" t="s">
        <v>36</v>
      </c>
      <c r="E49" s="19">
        <v>0.3141</v>
      </c>
      <c r="H49" s="11"/>
      <c r="I49" s="158"/>
    </row>
    <row r="50" spans="1:17" s="12" customFormat="1" ht="16.5" hidden="1" thickBot="1">
      <c r="A50" s="78"/>
      <c r="B50" s="18" t="s">
        <v>35</v>
      </c>
      <c r="C50" s="18">
        <v>86.04</v>
      </c>
      <c r="D50" s="18" t="s">
        <v>37</v>
      </c>
      <c r="E50" s="19">
        <v>86.04</v>
      </c>
      <c r="H50" s="159"/>
      <c r="I50" s="160"/>
      <c r="J50" s="159" t="s">
        <v>414</v>
      </c>
      <c r="K50" s="160">
        <v>0.47</v>
      </c>
      <c r="L50" s="159" t="s">
        <v>423</v>
      </c>
      <c r="M50" s="160">
        <v>0.495</v>
      </c>
      <c r="N50" s="159" t="s">
        <v>448</v>
      </c>
      <c r="O50" s="160">
        <v>0.59</v>
      </c>
      <c r="P50" s="159" t="s">
        <v>450</v>
      </c>
      <c r="Q50" s="160">
        <v>0.63</v>
      </c>
    </row>
    <row r="51" spans="1:9" s="12" customFormat="1" ht="12.75" hidden="1">
      <c r="A51" s="78"/>
      <c r="B51" s="18" t="s">
        <v>38</v>
      </c>
      <c r="C51" s="18">
        <v>84</v>
      </c>
      <c r="D51" s="18" t="s">
        <v>39</v>
      </c>
      <c r="E51" s="132"/>
      <c r="F51" s="12" t="s">
        <v>387</v>
      </c>
      <c r="H51" s="11"/>
      <c r="I51" s="44"/>
    </row>
    <row r="52" spans="1:235" s="12" customFormat="1" ht="13.5" hidden="1" thickBot="1">
      <c r="A52" s="86"/>
      <c r="B52" s="19" t="s">
        <v>40</v>
      </c>
      <c r="C52" s="19">
        <v>0.32</v>
      </c>
      <c r="D52" s="19" t="s">
        <v>41</v>
      </c>
      <c r="E52" s="87">
        <v>0.37</v>
      </c>
      <c r="F52" s="12" t="s">
        <v>388</v>
      </c>
      <c r="G52" s="86"/>
      <c r="H52" s="11"/>
      <c r="I52" s="161"/>
      <c r="K52" s="88"/>
      <c r="M52" s="88"/>
      <c r="O52" s="86"/>
      <c r="S52" s="88"/>
      <c r="W52" s="86"/>
      <c r="AA52" s="88"/>
      <c r="AE52" s="86"/>
      <c r="AI52" s="88"/>
      <c r="AM52" s="86"/>
      <c r="AQ52" s="88"/>
      <c r="AU52" s="86"/>
      <c r="AY52" s="88"/>
      <c r="BC52" s="86"/>
      <c r="BG52" s="88"/>
      <c r="BK52" s="86"/>
      <c r="BO52" s="88"/>
      <c r="BS52" s="86"/>
      <c r="BW52" s="88"/>
      <c r="CA52" s="86"/>
      <c r="CE52" s="88"/>
      <c r="CI52" s="86"/>
      <c r="CM52" s="88"/>
      <c r="CQ52" s="86"/>
      <c r="CU52" s="88"/>
      <c r="CY52" s="86"/>
      <c r="DC52" s="88"/>
      <c r="DG52" s="86"/>
      <c r="DK52" s="88"/>
      <c r="DO52" s="86"/>
      <c r="DS52" s="88"/>
      <c r="DW52" s="86"/>
      <c r="EA52" s="88"/>
      <c r="EE52" s="86"/>
      <c r="EI52" s="88"/>
      <c r="EM52" s="86"/>
      <c r="EQ52" s="88"/>
      <c r="EU52" s="86"/>
      <c r="EY52" s="88"/>
      <c r="FC52" s="86"/>
      <c r="FG52" s="88"/>
      <c r="FK52" s="86"/>
      <c r="FO52" s="88"/>
      <c r="FS52" s="86"/>
      <c r="FW52" s="88"/>
      <c r="GA52" s="86"/>
      <c r="GE52" s="88"/>
      <c r="GI52" s="86"/>
      <c r="GM52" s="88"/>
      <c r="GQ52" s="86"/>
      <c r="GU52" s="88"/>
      <c r="GY52" s="86"/>
      <c r="HC52" s="88"/>
      <c r="HG52" s="86"/>
      <c r="HK52" s="88"/>
      <c r="HO52" s="86"/>
      <c r="HS52" s="88"/>
      <c r="HW52" s="86"/>
      <c r="IA52" s="88"/>
    </row>
    <row r="53" spans="1:235" s="12" customFormat="1" ht="12.75" hidden="1">
      <c r="A53" s="86"/>
      <c r="B53" s="19" t="s">
        <v>42</v>
      </c>
      <c r="C53" s="19">
        <v>1.8</v>
      </c>
      <c r="D53" s="19" t="s">
        <v>43</v>
      </c>
      <c r="E53" s="87">
        <v>2.7</v>
      </c>
      <c r="G53" s="86"/>
      <c r="H53" s="162"/>
      <c r="I53" s="163"/>
      <c r="K53" s="88"/>
      <c r="M53" s="88"/>
      <c r="O53" s="86"/>
      <c r="S53" s="88"/>
      <c r="W53" s="86"/>
      <c r="AA53" s="88"/>
      <c r="AE53" s="86"/>
      <c r="AI53" s="88"/>
      <c r="AM53" s="86"/>
      <c r="AQ53" s="88"/>
      <c r="AU53" s="86"/>
      <c r="AY53" s="88"/>
      <c r="BC53" s="86"/>
      <c r="BG53" s="88"/>
      <c r="BK53" s="86"/>
      <c r="BO53" s="88"/>
      <c r="BS53" s="86"/>
      <c r="BW53" s="88"/>
      <c r="CA53" s="86"/>
      <c r="CE53" s="88"/>
      <c r="CI53" s="86"/>
      <c r="CM53" s="88"/>
      <c r="CQ53" s="86"/>
      <c r="CU53" s="88"/>
      <c r="CY53" s="86"/>
      <c r="DC53" s="88"/>
      <c r="DG53" s="86"/>
      <c r="DK53" s="88"/>
      <c r="DO53" s="86"/>
      <c r="DS53" s="88"/>
      <c r="DW53" s="86"/>
      <c r="EA53" s="88"/>
      <c r="EE53" s="86"/>
      <c r="EI53" s="88"/>
      <c r="EM53" s="86"/>
      <c r="EQ53" s="88"/>
      <c r="EU53" s="86"/>
      <c r="EY53" s="88"/>
      <c r="FC53" s="86"/>
      <c r="FG53" s="88"/>
      <c r="FK53" s="86"/>
      <c r="FO53" s="88"/>
      <c r="FS53" s="86"/>
      <c r="FW53" s="88"/>
      <c r="GA53" s="86"/>
      <c r="GE53" s="88"/>
      <c r="GI53" s="86"/>
      <c r="GM53" s="88"/>
      <c r="GQ53" s="86"/>
      <c r="GU53" s="88"/>
      <c r="GY53" s="86"/>
      <c r="HC53" s="88"/>
      <c r="HG53" s="86"/>
      <c r="HK53" s="88"/>
      <c r="HO53" s="86"/>
      <c r="HS53" s="88"/>
      <c r="HW53" s="86"/>
      <c r="IA53" s="88"/>
    </row>
    <row r="54" spans="1:9" ht="12.75" hidden="1">
      <c r="A54" s="2"/>
      <c r="B54" s="19" t="s">
        <v>44</v>
      </c>
      <c r="C54" s="19">
        <v>3.528</v>
      </c>
      <c r="D54" s="45" t="s">
        <v>45</v>
      </c>
      <c r="E54" s="19">
        <v>3.528</v>
      </c>
      <c r="F54" s="2"/>
      <c r="H54" s="164"/>
      <c r="I54" s="165"/>
    </row>
    <row r="55" spans="1:13" ht="12.75" hidden="1">
      <c r="A55" s="2"/>
      <c r="B55" s="19" t="s">
        <v>46</v>
      </c>
      <c r="C55" s="19">
        <v>2.51</v>
      </c>
      <c r="D55" s="45" t="s">
        <v>47</v>
      </c>
      <c r="E55" s="19">
        <v>2.51</v>
      </c>
      <c r="F55" s="2"/>
      <c r="H55" s="164"/>
      <c r="I55" s="166"/>
      <c r="J55" s="164" t="s">
        <v>418</v>
      </c>
      <c r="K55" s="166"/>
      <c r="L55" s="164" t="s">
        <v>422</v>
      </c>
      <c r="M55" s="166">
        <f>LOOKUP(D116,porant,cod06cargos)</f>
        <v>620</v>
      </c>
    </row>
    <row r="56" spans="1:17" ht="15.75" hidden="1">
      <c r="A56" s="2"/>
      <c r="B56" s="12"/>
      <c r="C56" s="12"/>
      <c r="D56" s="141" t="s">
        <v>389</v>
      </c>
      <c r="E56" s="143">
        <v>0</v>
      </c>
      <c r="F56" s="2"/>
      <c r="H56" s="164"/>
      <c r="I56" s="165"/>
      <c r="J56" s="164" t="s">
        <v>415</v>
      </c>
      <c r="K56" s="165">
        <v>0.57</v>
      </c>
      <c r="L56" s="164" t="s">
        <v>421</v>
      </c>
      <c r="M56" s="165">
        <v>0.6</v>
      </c>
      <c r="N56" s="164" t="s">
        <v>449</v>
      </c>
      <c r="O56" s="165">
        <v>0.71</v>
      </c>
      <c r="P56" s="164" t="s">
        <v>451</v>
      </c>
      <c r="Q56" s="165">
        <v>0.77</v>
      </c>
    </row>
    <row r="57" spans="1:9" ht="15.75" hidden="1">
      <c r="A57" s="51"/>
      <c r="B57" s="51"/>
      <c r="C57" s="51"/>
      <c r="D57" s="142" t="s">
        <v>390</v>
      </c>
      <c r="E57" s="144">
        <v>0.5</v>
      </c>
      <c r="F57" s="51"/>
      <c r="H57" s="167"/>
      <c r="I57" s="168"/>
    </row>
    <row r="58" spans="1:9" ht="13.5" hidden="1" thickBot="1">
      <c r="A58" s="200"/>
      <c r="B58" s="200"/>
      <c r="C58" s="200"/>
      <c r="D58" s="199"/>
      <c r="E58" s="200"/>
      <c r="F58" s="2"/>
      <c r="H58" s="169" t="s">
        <v>393</v>
      </c>
      <c r="I58" s="170">
        <f>IF(punproljor&lt;620,I59,salminjorcom)</f>
        <v>1040</v>
      </c>
    </row>
    <row r="59" spans="8:9" ht="12.75" hidden="1">
      <c r="H59" s="14" t="s">
        <v>394</v>
      </c>
      <c r="I59" s="79">
        <v>1040</v>
      </c>
    </row>
    <row r="60" spans="6:9" ht="12.75" hidden="1">
      <c r="F60" s="2"/>
      <c r="H60" s="14" t="s">
        <v>395</v>
      </c>
      <c r="I60" s="122">
        <v>1320</v>
      </c>
    </row>
    <row r="61" spans="6:9" ht="12.75" hidden="1">
      <c r="F61" s="2"/>
      <c r="I61" s="44"/>
    </row>
    <row r="62" spans="6:9" ht="13.5" hidden="1" thickBot="1">
      <c r="F62" s="2"/>
      <c r="H62" s="11" t="s">
        <v>396</v>
      </c>
      <c r="I62" s="44"/>
    </row>
    <row r="63" spans="6:9" ht="12.75" hidden="1">
      <c r="F63" s="2"/>
      <c r="H63" s="162" t="s">
        <v>397</v>
      </c>
      <c r="I63" s="163">
        <v>0</v>
      </c>
    </row>
    <row r="64" spans="6:9" ht="15.75" hidden="1">
      <c r="F64" s="2"/>
      <c r="H64" s="148" t="s">
        <v>398</v>
      </c>
      <c r="I64" s="168">
        <v>0</v>
      </c>
    </row>
    <row r="65" spans="6:13" ht="15.75" hidden="1">
      <c r="F65" s="2"/>
      <c r="H65" s="148" t="s">
        <v>399</v>
      </c>
      <c r="I65" s="168">
        <v>8.1</v>
      </c>
      <c r="J65" s="148" t="s">
        <v>416</v>
      </c>
      <c r="K65" s="168">
        <v>9.4</v>
      </c>
      <c r="L65" s="148" t="s">
        <v>424</v>
      </c>
      <c r="M65" s="168">
        <v>9.4</v>
      </c>
    </row>
    <row r="66" spans="6:9" ht="13.5" hidden="1" thickBot="1">
      <c r="F66" s="2"/>
      <c r="H66" s="171" t="s">
        <v>400</v>
      </c>
      <c r="I66" s="172">
        <v>0</v>
      </c>
    </row>
    <row r="67" spans="6:9" ht="12.75" hidden="1">
      <c r="F67" s="2"/>
      <c r="I67" s="44"/>
    </row>
    <row r="68" spans="6:9" ht="13.5" hidden="1" thickBot="1">
      <c r="F68" s="2"/>
      <c r="H68" s="11" t="s">
        <v>401</v>
      </c>
      <c r="I68" s="44"/>
    </row>
    <row r="69" spans="6:9" ht="12.75" hidden="1">
      <c r="F69" s="2"/>
      <c r="H69" s="162" t="s">
        <v>402</v>
      </c>
      <c r="I69" s="163">
        <v>0</v>
      </c>
    </row>
    <row r="70" spans="1:9" ht="15.75" hidden="1">
      <c r="A70" s="200"/>
      <c r="B70" s="200"/>
      <c r="C70" s="200"/>
      <c r="D70" s="199"/>
      <c r="E70" s="200"/>
      <c r="F70" s="2"/>
      <c r="H70" s="148" t="s">
        <v>403</v>
      </c>
      <c r="I70" s="168">
        <v>0</v>
      </c>
    </row>
    <row r="71" spans="1:13" ht="15.75" hidden="1">
      <c r="A71" s="200"/>
      <c r="B71" s="200"/>
      <c r="C71" s="200"/>
      <c r="D71" s="199"/>
      <c r="E71" s="200"/>
      <c r="F71" s="2"/>
      <c r="H71" s="148" t="s">
        <v>404</v>
      </c>
      <c r="I71" s="168">
        <v>8.1</v>
      </c>
      <c r="J71" s="148" t="s">
        <v>417</v>
      </c>
      <c r="K71" s="168">
        <v>9.4</v>
      </c>
      <c r="L71" s="148" t="s">
        <v>425</v>
      </c>
      <c r="M71" s="168">
        <v>9.4</v>
      </c>
    </row>
    <row r="72" spans="1:9" ht="13.5" hidden="1" thickBot="1">
      <c r="A72" s="200"/>
      <c r="B72" s="200"/>
      <c r="C72" s="200"/>
      <c r="D72" s="199"/>
      <c r="E72" s="200"/>
      <c r="F72" s="2"/>
      <c r="H72" s="171" t="s">
        <v>405</v>
      </c>
      <c r="I72" s="172">
        <v>0</v>
      </c>
    </row>
    <row r="73" spans="1:9" ht="15.75" hidden="1">
      <c r="A73" s="200"/>
      <c r="B73" s="200"/>
      <c r="C73" s="200"/>
      <c r="D73" s="199"/>
      <c r="E73" s="200"/>
      <c r="F73" s="2"/>
      <c r="H73" s="12"/>
      <c r="I73" s="276"/>
    </row>
    <row r="74" spans="1:9" ht="15.75" hidden="1">
      <c r="A74" s="200"/>
      <c r="B74" s="200"/>
      <c r="C74" s="200"/>
      <c r="D74" s="199"/>
      <c r="E74" s="200"/>
      <c r="F74" s="2"/>
      <c r="H74" s="12"/>
      <c r="I74" s="276"/>
    </row>
    <row r="75" spans="1:9" ht="15.75" hidden="1">
      <c r="A75" s="200"/>
      <c r="B75" s="200"/>
      <c r="C75" s="200"/>
      <c r="D75" s="199"/>
      <c r="E75" s="200"/>
      <c r="F75" s="2"/>
      <c r="H75" s="12"/>
      <c r="I75" s="276"/>
    </row>
    <row r="76" spans="1:4" ht="15.75" hidden="1">
      <c r="A76" s="2"/>
      <c r="C76" s="12"/>
      <c r="D76" s="276"/>
    </row>
    <row r="77" spans="1:4" ht="15.75" hidden="1">
      <c r="A77" s="2"/>
      <c r="C77" s="12"/>
      <c r="D77" s="276"/>
    </row>
    <row r="78" spans="1:18" ht="16.5" hidden="1" thickBot="1">
      <c r="A78" s="2"/>
      <c r="B78" s="2"/>
      <c r="C78" s="2"/>
      <c r="Q78" s="12"/>
      <c r="R78" s="276"/>
    </row>
    <row r="79" spans="1:18" ht="17.25" hidden="1" thickBot="1" thickTop="1">
      <c r="A79" s="2"/>
      <c r="C79" s="304" t="s">
        <v>435</v>
      </c>
      <c r="D79" s="11" t="s">
        <v>439</v>
      </c>
      <c r="E79" s="11" t="s">
        <v>440</v>
      </c>
      <c r="F79" s="152" t="s">
        <v>441</v>
      </c>
      <c r="G79" s="152" t="s">
        <v>442</v>
      </c>
      <c r="H79" s="152" t="s">
        <v>443</v>
      </c>
      <c r="I79" s="152" t="s">
        <v>444</v>
      </c>
      <c r="J79" s="152" t="s">
        <v>445</v>
      </c>
      <c r="K79" s="152" t="s">
        <v>446</v>
      </c>
      <c r="L79" s="173" t="s">
        <v>447</v>
      </c>
      <c r="M79" s="173">
        <v>1</v>
      </c>
      <c r="N79" s="173">
        <v>2</v>
      </c>
      <c r="O79" s="173">
        <v>3</v>
      </c>
      <c r="P79" s="173">
        <v>4</v>
      </c>
      <c r="Q79" s="173">
        <v>5</v>
      </c>
      <c r="R79" s="276"/>
    </row>
    <row r="80" spans="1:18" ht="16.5" hidden="1" thickBot="1">
      <c r="A80" s="2"/>
      <c r="B80" s="305">
        <v>0</v>
      </c>
      <c r="C80" s="306">
        <f aca="true" t="shared" si="0" ref="C80:C91">IF(puntosproljor&lt;620,Q80,L80)</f>
        <v>80</v>
      </c>
      <c r="D80" s="154">
        <v>80</v>
      </c>
      <c r="E80" s="307">
        <v>80</v>
      </c>
      <c r="F80" s="174">
        <v>0</v>
      </c>
      <c r="G80" s="175">
        <v>0</v>
      </c>
      <c r="H80" s="176">
        <v>0</v>
      </c>
      <c r="I80" s="308">
        <v>0</v>
      </c>
      <c r="J80" s="309">
        <v>80</v>
      </c>
      <c r="K80" s="310">
        <v>80</v>
      </c>
      <c r="L80" s="177">
        <f aca="true" t="shared" si="1" ref="L80:L91">IF(punbasjub&gt;971,K80,J80)</f>
        <v>80</v>
      </c>
      <c r="M80" s="177">
        <f aca="true" t="shared" si="2" ref="M80:M91">IF(punbasjub&lt;972,D80,E80)</f>
        <v>80</v>
      </c>
      <c r="N80" s="177">
        <f aca="true" t="shared" si="3" ref="N80:N91">IF(punbasjub&lt;1170,M80,F80)</f>
        <v>80</v>
      </c>
      <c r="O80" s="177">
        <f aca="true" t="shared" si="4" ref="O80:O91">IF(punbasjub&lt;1401,N80,G80)</f>
        <v>80</v>
      </c>
      <c r="P80" s="177">
        <f aca="true" t="shared" si="5" ref="P80:P91">IF(punbasjub&lt;1943,O80,H80)</f>
        <v>80</v>
      </c>
      <c r="Q80" s="177">
        <f aca="true" t="shared" si="6" ref="Q80:Q91">IF(punbasjub&lt;=2220,P80,I80)</f>
        <v>80</v>
      </c>
      <c r="R80" s="276"/>
    </row>
    <row r="81" spans="1:18" ht="16.5" hidden="1" thickBot="1">
      <c r="A81" s="2"/>
      <c r="B81" s="311">
        <v>0.1</v>
      </c>
      <c r="C81" s="306">
        <f t="shared" si="0"/>
        <v>90</v>
      </c>
      <c r="D81" s="154">
        <v>90</v>
      </c>
      <c r="E81" s="312">
        <v>90</v>
      </c>
      <c r="F81" s="174">
        <v>0</v>
      </c>
      <c r="G81" s="175">
        <v>0</v>
      </c>
      <c r="H81" s="176">
        <v>0</v>
      </c>
      <c r="I81" s="308">
        <v>0</v>
      </c>
      <c r="J81" s="309">
        <v>90</v>
      </c>
      <c r="K81" s="310">
        <v>90</v>
      </c>
      <c r="L81" s="177">
        <f t="shared" si="1"/>
        <v>90</v>
      </c>
      <c r="M81" s="177">
        <f t="shared" si="2"/>
        <v>90</v>
      </c>
      <c r="N81" s="177">
        <f t="shared" si="3"/>
        <v>90</v>
      </c>
      <c r="O81" s="177">
        <f t="shared" si="4"/>
        <v>90</v>
      </c>
      <c r="P81" s="177">
        <f t="shared" si="5"/>
        <v>90</v>
      </c>
      <c r="Q81" s="177">
        <f t="shared" si="6"/>
        <v>90</v>
      </c>
      <c r="R81" s="276"/>
    </row>
    <row r="82" spans="1:18" ht="16.5" hidden="1" thickBot="1">
      <c r="A82" s="2"/>
      <c r="B82" s="313">
        <v>0.15</v>
      </c>
      <c r="C82" s="306">
        <f t="shared" si="0"/>
        <v>220</v>
      </c>
      <c r="D82" s="154">
        <v>180</v>
      </c>
      <c r="E82" s="312">
        <v>180</v>
      </c>
      <c r="F82" s="178">
        <v>240</v>
      </c>
      <c r="G82" s="179">
        <v>193</v>
      </c>
      <c r="H82" s="180">
        <v>180</v>
      </c>
      <c r="I82" s="308">
        <v>0</v>
      </c>
      <c r="J82" s="309">
        <v>220</v>
      </c>
      <c r="K82" s="310">
        <v>220</v>
      </c>
      <c r="L82" s="177">
        <f t="shared" si="1"/>
        <v>220</v>
      </c>
      <c r="M82" s="177">
        <f t="shared" si="2"/>
        <v>180</v>
      </c>
      <c r="N82" s="177">
        <f t="shared" si="3"/>
        <v>180</v>
      </c>
      <c r="O82" s="177">
        <f t="shared" si="4"/>
        <v>180</v>
      </c>
      <c r="P82" s="177">
        <f t="shared" si="5"/>
        <v>180</v>
      </c>
      <c r="Q82" s="177">
        <f t="shared" si="6"/>
        <v>180</v>
      </c>
      <c r="R82" s="276"/>
    </row>
    <row r="83" spans="1:18" ht="16.5" hidden="1" thickBot="1">
      <c r="A83" s="2"/>
      <c r="B83" s="313">
        <v>0.3</v>
      </c>
      <c r="C83" s="306">
        <f t="shared" si="0"/>
        <v>380</v>
      </c>
      <c r="D83" s="154">
        <v>225</v>
      </c>
      <c r="E83" s="312">
        <v>195</v>
      </c>
      <c r="F83" s="178">
        <v>240</v>
      </c>
      <c r="G83" s="179">
        <v>193</v>
      </c>
      <c r="H83" s="180">
        <v>180</v>
      </c>
      <c r="I83" s="308">
        <v>0</v>
      </c>
      <c r="J83" s="309">
        <v>380</v>
      </c>
      <c r="K83" s="310">
        <v>350</v>
      </c>
      <c r="L83" s="177">
        <f t="shared" si="1"/>
        <v>380</v>
      </c>
      <c r="M83" s="177">
        <f t="shared" si="2"/>
        <v>225</v>
      </c>
      <c r="N83" s="177">
        <f t="shared" si="3"/>
        <v>225</v>
      </c>
      <c r="O83" s="177">
        <f t="shared" si="4"/>
        <v>225</v>
      </c>
      <c r="P83" s="177">
        <f t="shared" si="5"/>
        <v>225</v>
      </c>
      <c r="Q83" s="177">
        <f t="shared" si="6"/>
        <v>225</v>
      </c>
      <c r="R83" s="276"/>
    </row>
    <row r="84" spans="1:18" ht="16.5" hidden="1" thickBot="1">
      <c r="A84" s="2"/>
      <c r="B84" s="313">
        <v>0.4</v>
      </c>
      <c r="C84" s="306">
        <f t="shared" si="0"/>
        <v>440</v>
      </c>
      <c r="D84" s="154">
        <v>250</v>
      </c>
      <c r="E84" s="312">
        <v>210</v>
      </c>
      <c r="F84" s="178">
        <v>250</v>
      </c>
      <c r="G84" s="179">
        <v>200</v>
      </c>
      <c r="H84" s="180">
        <v>180</v>
      </c>
      <c r="I84" s="308">
        <v>140</v>
      </c>
      <c r="J84" s="309">
        <v>440</v>
      </c>
      <c r="K84" s="310">
        <v>400</v>
      </c>
      <c r="L84" s="177">
        <f t="shared" si="1"/>
        <v>440</v>
      </c>
      <c r="M84" s="177">
        <f t="shared" si="2"/>
        <v>250</v>
      </c>
      <c r="N84" s="177">
        <f t="shared" si="3"/>
        <v>250</v>
      </c>
      <c r="O84" s="177">
        <f t="shared" si="4"/>
        <v>250</v>
      </c>
      <c r="P84" s="177">
        <f t="shared" si="5"/>
        <v>250</v>
      </c>
      <c r="Q84" s="177">
        <f t="shared" si="6"/>
        <v>250</v>
      </c>
      <c r="R84" s="276"/>
    </row>
    <row r="85" spans="1:18" ht="16.5" hidden="1" thickBot="1">
      <c r="A85" s="2"/>
      <c r="B85" s="313">
        <v>0.5</v>
      </c>
      <c r="C85" s="306">
        <f t="shared" si="0"/>
        <v>475</v>
      </c>
      <c r="D85" s="154">
        <v>270</v>
      </c>
      <c r="E85" s="312">
        <v>230</v>
      </c>
      <c r="F85" s="178">
        <v>250</v>
      </c>
      <c r="G85" s="157">
        <v>200</v>
      </c>
      <c r="H85" s="180">
        <v>180</v>
      </c>
      <c r="I85" s="308">
        <v>140</v>
      </c>
      <c r="J85" s="309">
        <v>475</v>
      </c>
      <c r="K85" s="310">
        <v>435</v>
      </c>
      <c r="L85" s="177">
        <f t="shared" si="1"/>
        <v>475</v>
      </c>
      <c r="M85" s="177">
        <f t="shared" si="2"/>
        <v>270</v>
      </c>
      <c r="N85" s="177">
        <f t="shared" si="3"/>
        <v>270</v>
      </c>
      <c r="O85" s="177">
        <f t="shared" si="4"/>
        <v>270</v>
      </c>
      <c r="P85" s="177">
        <f t="shared" si="5"/>
        <v>270</v>
      </c>
      <c r="Q85" s="177">
        <f t="shared" si="6"/>
        <v>270</v>
      </c>
      <c r="R85" s="276"/>
    </row>
    <row r="86" spans="1:18" ht="16.5" hidden="1" thickBot="1">
      <c r="A86" s="2"/>
      <c r="B86" s="313">
        <v>0.6</v>
      </c>
      <c r="C86" s="306">
        <f t="shared" si="0"/>
        <v>510</v>
      </c>
      <c r="D86" s="154">
        <v>320</v>
      </c>
      <c r="E86" s="312">
        <v>260</v>
      </c>
      <c r="F86" s="178">
        <v>260</v>
      </c>
      <c r="G86" s="157">
        <v>203</v>
      </c>
      <c r="H86" s="180">
        <v>190</v>
      </c>
      <c r="I86" s="308">
        <v>160</v>
      </c>
      <c r="J86" s="309">
        <v>510</v>
      </c>
      <c r="K86" s="310">
        <v>450</v>
      </c>
      <c r="L86" s="177">
        <f t="shared" si="1"/>
        <v>510</v>
      </c>
      <c r="M86" s="177">
        <f t="shared" si="2"/>
        <v>320</v>
      </c>
      <c r="N86" s="177">
        <f t="shared" si="3"/>
        <v>320</v>
      </c>
      <c r="O86" s="177">
        <f t="shared" si="4"/>
        <v>320</v>
      </c>
      <c r="P86" s="177">
        <f t="shared" si="5"/>
        <v>320</v>
      </c>
      <c r="Q86" s="177">
        <f t="shared" si="6"/>
        <v>320</v>
      </c>
      <c r="R86" s="276"/>
    </row>
    <row r="87" spans="1:18" ht="16.5" hidden="1" thickBot="1">
      <c r="A87" s="2"/>
      <c r="B87" s="313">
        <v>0.7</v>
      </c>
      <c r="C87" s="306">
        <f t="shared" si="0"/>
        <v>525</v>
      </c>
      <c r="D87" s="154">
        <v>345</v>
      </c>
      <c r="E87" s="312">
        <v>285</v>
      </c>
      <c r="F87" s="178">
        <v>365</v>
      </c>
      <c r="G87" s="157">
        <v>230</v>
      </c>
      <c r="H87" s="180">
        <v>190</v>
      </c>
      <c r="I87" s="308">
        <v>160</v>
      </c>
      <c r="J87" s="309">
        <v>525</v>
      </c>
      <c r="K87" s="310">
        <v>465</v>
      </c>
      <c r="L87" s="177">
        <f t="shared" si="1"/>
        <v>525</v>
      </c>
      <c r="M87" s="177">
        <f t="shared" si="2"/>
        <v>345</v>
      </c>
      <c r="N87" s="177">
        <f t="shared" si="3"/>
        <v>345</v>
      </c>
      <c r="O87" s="177">
        <f t="shared" si="4"/>
        <v>345</v>
      </c>
      <c r="P87" s="177">
        <f t="shared" si="5"/>
        <v>345</v>
      </c>
      <c r="Q87" s="177">
        <f t="shared" si="6"/>
        <v>345</v>
      </c>
      <c r="R87" s="276"/>
    </row>
    <row r="88" spans="1:18" ht="16.5" hidden="1" thickBot="1">
      <c r="A88" s="2"/>
      <c r="B88" s="313">
        <v>0.8</v>
      </c>
      <c r="C88" s="306">
        <f t="shared" si="0"/>
        <v>555</v>
      </c>
      <c r="D88" s="154">
        <v>425</v>
      </c>
      <c r="E88" s="312">
        <v>345</v>
      </c>
      <c r="F88" s="156">
        <v>395</v>
      </c>
      <c r="G88" s="157">
        <v>340</v>
      </c>
      <c r="H88" s="181">
        <v>280</v>
      </c>
      <c r="I88" s="314">
        <v>180</v>
      </c>
      <c r="J88" s="309">
        <v>555</v>
      </c>
      <c r="K88" s="310">
        <v>475</v>
      </c>
      <c r="L88" s="177">
        <f t="shared" si="1"/>
        <v>555</v>
      </c>
      <c r="M88" s="177">
        <f t="shared" si="2"/>
        <v>425</v>
      </c>
      <c r="N88" s="177">
        <f t="shared" si="3"/>
        <v>425</v>
      </c>
      <c r="O88" s="177">
        <f t="shared" si="4"/>
        <v>425</v>
      </c>
      <c r="P88" s="177">
        <f t="shared" si="5"/>
        <v>425</v>
      </c>
      <c r="Q88" s="177">
        <f t="shared" si="6"/>
        <v>425</v>
      </c>
      <c r="R88" s="276"/>
    </row>
    <row r="89" spans="1:18" ht="16.5" hidden="1" thickBot="1">
      <c r="A89" s="2"/>
      <c r="B89" s="313">
        <v>1</v>
      </c>
      <c r="C89" s="306">
        <f t="shared" si="0"/>
        <v>590</v>
      </c>
      <c r="D89" s="154">
        <v>535</v>
      </c>
      <c r="E89" s="312">
        <v>435</v>
      </c>
      <c r="F89" s="156">
        <v>410</v>
      </c>
      <c r="G89" s="157">
        <v>330</v>
      </c>
      <c r="H89" s="181">
        <v>310</v>
      </c>
      <c r="I89" s="314">
        <v>180</v>
      </c>
      <c r="J89" s="309">
        <v>590</v>
      </c>
      <c r="K89" s="310">
        <v>490</v>
      </c>
      <c r="L89" s="177">
        <f t="shared" si="1"/>
        <v>590</v>
      </c>
      <c r="M89" s="177">
        <f t="shared" si="2"/>
        <v>535</v>
      </c>
      <c r="N89" s="177">
        <f t="shared" si="3"/>
        <v>535</v>
      </c>
      <c r="O89" s="177">
        <f t="shared" si="4"/>
        <v>535</v>
      </c>
      <c r="P89" s="177">
        <f t="shared" si="5"/>
        <v>535</v>
      </c>
      <c r="Q89" s="177">
        <f t="shared" si="6"/>
        <v>535</v>
      </c>
      <c r="R89" s="276"/>
    </row>
    <row r="90" spans="1:18" ht="16.5" hidden="1" thickBot="1">
      <c r="A90" s="2"/>
      <c r="B90" s="313">
        <v>1.1</v>
      </c>
      <c r="C90" s="306">
        <f t="shared" si="0"/>
        <v>615</v>
      </c>
      <c r="D90" s="154">
        <v>605</v>
      </c>
      <c r="E90" s="312">
        <v>495</v>
      </c>
      <c r="F90" s="156">
        <v>430</v>
      </c>
      <c r="G90" s="157">
        <v>330</v>
      </c>
      <c r="H90" s="181">
        <v>320</v>
      </c>
      <c r="I90" s="314">
        <v>190</v>
      </c>
      <c r="J90" s="309">
        <v>615</v>
      </c>
      <c r="K90" s="310">
        <v>505</v>
      </c>
      <c r="L90" s="177">
        <f t="shared" si="1"/>
        <v>615</v>
      </c>
      <c r="M90" s="177">
        <f t="shared" si="2"/>
        <v>605</v>
      </c>
      <c r="N90" s="177">
        <f t="shared" si="3"/>
        <v>605</v>
      </c>
      <c r="O90" s="177">
        <f t="shared" si="4"/>
        <v>605</v>
      </c>
      <c r="P90" s="177">
        <f t="shared" si="5"/>
        <v>605</v>
      </c>
      <c r="Q90" s="177">
        <f t="shared" si="6"/>
        <v>605</v>
      </c>
      <c r="R90" s="276"/>
    </row>
    <row r="91" spans="1:18" ht="16.5" hidden="1" thickBot="1">
      <c r="A91" s="2"/>
      <c r="B91" s="315">
        <v>1.2</v>
      </c>
      <c r="C91" s="316">
        <f t="shared" si="0"/>
        <v>620</v>
      </c>
      <c r="D91" s="154">
        <v>620</v>
      </c>
      <c r="E91" s="312">
        <v>510</v>
      </c>
      <c r="F91" s="156">
        <v>480</v>
      </c>
      <c r="G91" s="157">
        <v>335</v>
      </c>
      <c r="H91" s="181">
        <v>330</v>
      </c>
      <c r="I91" s="314">
        <v>190</v>
      </c>
      <c r="J91" s="309">
        <v>620</v>
      </c>
      <c r="K91" s="310">
        <v>510</v>
      </c>
      <c r="L91" s="177">
        <f t="shared" si="1"/>
        <v>620</v>
      </c>
      <c r="M91" s="177">
        <f t="shared" si="2"/>
        <v>620</v>
      </c>
      <c r="N91" s="177">
        <f t="shared" si="3"/>
        <v>620</v>
      </c>
      <c r="O91" s="177">
        <f t="shared" si="4"/>
        <v>620</v>
      </c>
      <c r="P91" s="177">
        <f t="shared" si="5"/>
        <v>620</v>
      </c>
      <c r="Q91" s="177">
        <f t="shared" si="6"/>
        <v>620</v>
      </c>
      <c r="R91" s="276"/>
    </row>
    <row r="92" spans="1:26" ht="15.75" hidden="1">
      <c r="A92" s="198"/>
      <c r="B92" s="199"/>
      <c r="C92" s="200"/>
      <c r="D92" s="200"/>
      <c r="E92" s="200"/>
      <c r="F92" s="200"/>
      <c r="G92" s="199"/>
      <c r="H92" s="200"/>
      <c r="I92" s="2"/>
      <c r="J92" s="2"/>
      <c r="K92" s="2"/>
      <c r="Y92" s="12"/>
      <c r="Z92" s="276"/>
    </row>
    <row r="93" spans="1:26" ht="15.75" hidden="1">
      <c r="A93" s="198"/>
      <c r="B93" s="199"/>
      <c r="C93" s="200"/>
      <c r="D93" s="200"/>
      <c r="E93" s="200"/>
      <c r="F93" s="200"/>
      <c r="G93" s="199"/>
      <c r="H93" s="200"/>
      <c r="I93" s="2"/>
      <c r="J93" s="2"/>
      <c r="K93" s="2"/>
      <c r="Y93" s="12"/>
      <c r="Z93" s="276"/>
    </row>
    <row r="94" spans="1:26" ht="15.75" hidden="1">
      <c r="A94" s="198"/>
      <c r="B94" s="199"/>
      <c r="C94" s="200"/>
      <c r="D94" s="200"/>
      <c r="E94" s="200"/>
      <c r="F94" s="200"/>
      <c r="G94" s="199"/>
      <c r="H94" s="200"/>
      <c r="I94" s="2"/>
      <c r="J94" s="2"/>
      <c r="K94" s="2"/>
      <c r="Y94" s="12"/>
      <c r="Z94" s="276"/>
    </row>
    <row r="95" spans="1:26" ht="15.75" hidden="1">
      <c r="A95" s="198"/>
      <c r="B95" s="199"/>
      <c r="C95" s="200"/>
      <c r="D95" s="200"/>
      <c r="E95" s="200"/>
      <c r="F95" s="200"/>
      <c r="G95" s="199"/>
      <c r="H95" s="200"/>
      <c r="I95" s="2"/>
      <c r="J95" s="2"/>
      <c r="K95" s="2"/>
      <c r="Y95" s="12"/>
      <c r="Z95" s="276"/>
    </row>
    <row r="96" spans="1:26" ht="16.5" hidden="1" thickBot="1">
      <c r="A96" s="198"/>
      <c r="B96" s="199"/>
      <c r="C96" s="200"/>
      <c r="D96" s="200"/>
      <c r="E96" s="200"/>
      <c r="F96" s="200"/>
      <c r="G96" s="199"/>
      <c r="H96" s="200"/>
      <c r="I96" s="2"/>
      <c r="J96" s="2"/>
      <c r="K96" s="2"/>
      <c r="Y96" s="12"/>
      <c r="Z96" s="276"/>
    </row>
    <row r="97" spans="1:26" ht="16.5" thickTop="1">
      <c r="A97" s="201"/>
      <c r="B97" s="82" t="s">
        <v>11</v>
      </c>
      <c r="C97" s="83"/>
      <c r="D97" s="84"/>
      <c r="E97" s="200"/>
      <c r="F97" s="200"/>
      <c r="G97" s="199"/>
      <c r="H97" s="200"/>
      <c r="I97" s="2"/>
      <c r="J97" s="2"/>
      <c r="K97" s="2"/>
      <c r="Y97" s="12"/>
      <c r="Z97" s="276"/>
    </row>
    <row r="98" spans="1:26" ht="15.75">
      <c r="A98" s="201"/>
      <c r="B98" s="85" t="s">
        <v>12</v>
      </c>
      <c r="C98" s="52"/>
      <c r="D98" s="53"/>
      <c r="E98" s="200"/>
      <c r="F98" s="200"/>
      <c r="G98" s="199"/>
      <c r="H98" s="200"/>
      <c r="I98" s="2"/>
      <c r="J98" s="2"/>
      <c r="K98" s="2"/>
      <c r="Y98" s="12"/>
      <c r="Z98" s="276"/>
    </row>
    <row r="99" spans="1:26" ht="15.75">
      <c r="A99" s="201"/>
      <c r="B99" s="85" t="s">
        <v>13</v>
      </c>
      <c r="C99" s="52"/>
      <c r="D99" s="53"/>
      <c r="E99" s="200"/>
      <c r="F99" s="200"/>
      <c r="G99" s="199"/>
      <c r="H99" s="200"/>
      <c r="I99" s="2"/>
      <c r="J99" s="2"/>
      <c r="K99" s="2"/>
      <c r="Y99" s="12"/>
      <c r="Z99" s="276"/>
    </row>
    <row r="100" spans="1:26" ht="15.75">
      <c r="A100" s="201"/>
      <c r="B100" s="85" t="s">
        <v>379</v>
      </c>
      <c r="C100" s="52"/>
      <c r="D100" s="53"/>
      <c r="E100" s="200"/>
      <c r="F100" s="200"/>
      <c r="G100" s="199"/>
      <c r="H100" s="200"/>
      <c r="I100" s="2"/>
      <c r="J100" s="2"/>
      <c r="K100" s="2"/>
      <c r="Y100" s="12"/>
      <c r="Z100" s="276"/>
    </row>
    <row r="101" spans="1:26" ht="15.75">
      <c r="A101" s="201"/>
      <c r="B101" s="186" t="s">
        <v>409</v>
      </c>
      <c r="C101" s="52"/>
      <c r="D101" s="53"/>
      <c r="E101" s="200"/>
      <c r="F101" s="200"/>
      <c r="G101" s="199"/>
      <c r="H101" s="200"/>
      <c r="I101" s="2"/>
      <c r="J101" s="2"/>
      <c r="K101" s="2"/>
      <c r="Y101" s="12"/>
      <c r="Z101" s="276"/>
    </row>
    <row r="102" spans="1:26" ht="15.75">
      <c r="A102" s="201"/>
      <c r="B102" s="89" t="s">
        <v>380</v>
      </c>
      <c r="C102" s="52"/>
      <c r="D102" s="53"/>
      <c r="E102" s="200"/>
      <c r="F102" s="200"/>
      <c r="G102" s="199"/>
      <c r="H102" s="200"/>
      <c r="I102" s="2"/>
      <c r="J102" s="2"/>
      <c r="K102" s="2"/>
      <c r="Y102" s="12"/>
      <c r="Z102" s="276"/>
    </row>
    <row r="103" spans="1:26" ht="16.5" thickBot="1">
      <c r="A103" s="201"/>
      <c r="B103" s="183" t="s">
        <v>407</v>
      </c>
      <c r="C103" s="184"/>
      <c r="D103" s="185"/>
      <c r="E103" s="200"/>
      <c r="F103" s="200"/>
      <c r="G103" s="199"/>
      <c r="H103" s="200"/>
      <c r="I103" s="2"/>
      <c r="J103" s="2"/>
      <c r="K103" s="2"/>
      <c r="Y103" s="12"/>
      <c r="Z103" s="276"/>
    </row>
    <row r="104" spans="1:26" ht="16.5" thickTop="1">
      <c r="A104" s="198"/>
      <c r="B104" s="199"/>
      <c r="C104" s="200"/>
      <c r="D104" s="200"/>
      <c r="E104" s="200"/>
      <c r="F104" s="200"/>
      <c r="G104" s="199"/>
      <c r="H104" s="200"/>
      <c r="I104" s="2"/>
      <c r="J104" s="2"/>
      <c r="K104" s="2"/>
      <c r="Y104" s="12"/>
      <c r="Z104" s="276"/>
    </row>
    <row r="105" spans="1:26" ht="20.25">
      <c r="A105" s="200"/>
      <c r="B105" s="201"/>
      <c r="C105" s="90" t="s">
        <v>365</v>
      </c>
      <c r="E105" s="201"/>
      <c r="F105" s="201"/>
      <c r="G105" s="201"/>
      <c r="H105" s="201"/>
      <c r="I105" s="2"/>
      <c r="J105" s="2"/>
      <c r="K105" s="2"/>
      <c r="Y105" s="12"/>
      <c r="Z105" s="276"/>
    </row>
    <row r="106" spans="1:26" ht="15.75">
      <c r="A106" s="200"/>
      <c r="B106" s="200"/>
      <c r="C106" s="200"/>
      <c r="D106" s="200"/>
      <c r="E106" s="200"/>
      <c r="F106" s="200"/>
      <c r="G106" s="199"/>
      <c r="H106" s="200"/>
      <c r="I106" s="2"/>
      <c r="J106" s="2"/>
      <c r="K106" s="2"/>
      <c r="Y106" s="12"/>
      <c r="Z106" s="276"/>
    </row>
    <row r="107" spans="1:26" ht="15.75">
      <c r="A107" s="45" t="s">
        <v>52</v>
      </c>
      <c r="B107" s="45" t="s">
        <v>356</v>
      </c>
      <c r="C107" s="45" t="s">
        <v>357</v>
      </c>
      <c r="D107" s="45" t="s">
        <v>358</v>
      </c>
      <c r="E107" s="45" t="s">
        <v>359</v>
      </c>
      <c r="F107" s="112" t="s">
        <v>452</v>
      </c>
      <c r="G107" s="199"/>
      <c r="H107" s="200"/>
      <c r="I107" s="2"/>
      <c r="J107" s="2"/>
      <c r="K107" s="2"/>
      <c r="Y107" s="12"/>
      <c r="Z107" s="276"/>
    </row>
    <row r="108" spans="1:26" ht="16.5" thickBot="1">
      <c r="A108" s="130">
        <v>813</v>
      </c>
      <c r="B108" s="91">
        <f>LOOKUP(A108,Cargos!A3:A314,Cargos!C3:C314)</f>
        <v>971</v>
      </c>
      <c r="C108" s="91">
        <f>LOOKUP(A108,Cargos!A3:A314,Cargos!E3:E314)</f>
        <v>0</v>
      </c>
      <c r="D108" s="91">
        <f>LOOKUP(A108,Cargos!A3:A314,Cargos!F3:F314)</f>
        <v>0</v>
      </c>
      <c r="E108" s="91">
        <f>LOOKUP(A108,Cargos!A3:A314,Cargos!G3:G314)</f>
        <v>620</v>
      </c>
      <c r="F108" s="45">
        <f>LOOKUP(A108,Cargos!A3:A314,puntoscompbasico)</f>
        <v>170</v>
      </c>
      <c r="G108" s="199"/>
      <c r="H108" s="200"/>
      <c r="I108" s="2"/>
      <c r="J108" s="2"/>
      <c r="K108" s="2"/>
      <c r="Y108" s="12"/>
      <c r="Z108" s="276"/>
    </row>
    <row r="109" spans="1:26" ht="16.5" thickBot="1">
      <c r="A109" s="92" t="s">
        <v>53</v>
      </c>
      <c r="B109" s="93" t="str">
        <f>LOOKUP(A108,Cargos!A3:A314,Cargos!B3:B314)</f>
        <v> MAESTRO DE GRADO JORNADA COMPLETA</v>
      </c>
      <c r="C109" s="43"/>
      <c r="D109" s="43"/>
      <c r="E109" s="66"/>
      <c r="F109" s="200"/>
      <c r="G109" s="199"/>
      <c r="H109" s="200"/>
      <c r="I109" s="2"/>
      <c r="J109" s="2"/>
      <c r="K109" s="2"/>
      <c r="Y109" s="12"/>
      <c r="Z109" s="276"/>
    </row>
    <row r="110" spans="1:26" ht="16.5" thickBot="1">
      <c r="A110" s="198"/>
      <c r="B110" s="199"/>
      <c r="C110" s="200"/>
      <c r="D110" s="200"/>
      <c r="E110" s="200"/>
      <c r="F110" s="146" t="s">
        <v>384</v>
      </c>
      <c r="G110" s="199"/>
      <c r="H110" s="200"/>
      <c r="I110" s="2"/>
      <c r="J110" s="2"/>
      <c r="K110" s="2"/>
      <c r="Y110" s="12"/>
      <c r="Z110" s="276"/>
    </row>
    <row r="111" spans="1:26" ht="17.25" thickBot="1" thickTop="1">
      <c r="A111" s="198"/>
      <c r="B111" s="135" t="s">
        <v>373</v>
      </c>
      <c r="C111" s="136"/>
      <c r="D111" s="136"/>
      <c r="E111" s="145">
        <v>120</v>
      </c>
      <c r="F111" s="147">
        <f>E111/120</f>
        <v>1</v>
      </c>
      <c r="G111" s="199"/>
      <c r="H111" s="200"/>
      <c r="I111" s="2"/>
      <c r="J111" s="2"/>
      <c r="K111" s="2"/>
      <c r="Y111" s="12"/>
      <c r="Z111" s="276"/>
    </row>
    <row r="112" spans="1:26" ht="17.25" thickBot="1" thickTop="1">
      <c r="A112" s="198"/>
      <c r="B112" s="199"/>
      <c r="C112" s="200"/>
      <c r="D112" s="200"/>
      <c r="E112" s="214"/>
      <c r="F112" s="200"/>
      <c r="G112" s="199"/>
      <c r="H112" s="200"/>
      <c r="I112" s="2"/>
      <c r="J112" s="2"/>
      <c r="K112" s="2"/>
      <c r="Y112" s="12"/>
      <c r="Z112" s="276"/>
    </row>
    <row r="113" spans="1:26" ht="17.25" thickBot="1" thickTop="1">
      <c r="A113" s="198"/>
      <c r="B113" s="134" t="s">
        <v>386</v>
      </c>
      <c r="C113" s="150">
        <v>0</v>
      </c>
      <c r="D113" s="200"/>
      <c r="E113" s="214"/>
      <c r="F113" s="200"/>
      <c r="G113" s="199"/>
      <c r="H113" s="200"/>
      <c r="I113" s="2"/>
      <c r="J113" s="2"/>
      <c r="K113" s="2"/>
      <c r="Y113" s="12"/>
      <c r="Z113" s="276"/>
    </row>
    <row r="114" spans="1:26" ht="16.5" thickTop="1">
      <c r="A114" s="198"/>
      <c r="B114" s="199"/>
      <c r="C114" s="200"/>
      <c r="D114" s="200"/>
      <c r="E114" s="200"/>
      <c r="F114" s="200"/>
      <c r="G114" s="199"/>
      <c r="H114" s="200"/>
      <c r="I114" s="2"/>
      <c r="J114" s="2"/>
      <c r="K114" s="2"/>
      <c r="Y114" s="12"/>
      <c r="Z114" s="276"/>
    </row>
    <row r="115" spans="1:26" ht="11.25" customHeight="1" thickBot="1">
      <c r="A115" s="198"/>
      <c r="B115" s="199"/>
      <c r="C115" s="200"/>
      <c r="D115" s="200"/>
      <c r="E115" s="200"/>
      <c r="F115" s="200"/>
      <c r="G115" s="199"/>
      <c r="H115" s="200"/>
      <c r="I115" s="2"/>
      <c r="J115" s="2"/>
      <c r="K115" s="2"/>
      <c r="Y115" s="12"/>
      <c r="Z115" s="276"/>
    </row>
    <row r="116" spans="1:9" ht="16.5" thickBot="1">
      <c r="A116" s="201"/>
      <c r="B116" s="94" t="s">
        <v>15</v>
      </c>
      <c r="C116" s="43"/>
      <c r="D116" s="133">
        <v>1.2</v>
      </c>
      <c r="E116" s="201" t="s">
        <v>16</v>
      </c>
      <c r="F116" s="201"/>
      <c r="G116" s="201"/>
      <c r="I116" s="96"/>
    </row>
    <row r="117" spans="1:9" ht="12" customHeight="1">
      <c r="A117" s="201"/>
      <c r="B117" s="200"/>
      <c r="C117" s="200"/>
      <c r="D117" s="212"/>
      <c r="E117" s="201"/>
      <c r="F117" s="201"/>
      <c r="G117" s="201"/>
      <c r="I117" s="97"/>
    </row>
    <row r="118" spans="1:8" ht="18.75" thickBot="1">
      <c r="A118" s="201"/>
      <c r="B118" s="98" t="s">
        <v>17</v>
      </c>
      <c r="C118" s="98"/>
      <c r="D118" s="99">
        <f>B108</f>
        <v>971</v>
      </c>
      <c r="E118" s="201" t="s">
        <v>18</v>
      </c>
      <c r="F118" s="434" t="s">
        <v>479</v>
      </c>
      <c r="G118" s="215">
        <f>D108+E108</f>
        <v>620</v>
      </c>
      <c r="H118" s="2"/>
    </row>
    <row r="119" spans="1:8" ht="12.75" customHeight="1">
      <c r="A119" s="201"/>
      <c r="B119" s="200"/>
      <c r="C119" s="200"/>
      <c r="D119" s="212"/>
      <c r="E119" s="201"/>
      <c r="F119" s="201"/>
      <c r="G119" s="200"/>
      <c r="H119" s="100"/>
    </row>
    <row r="120" spans="1:12" ht="15.75">
      <c r="A120" s="201"/>
      <c r="B120" s="187" t="s">
        <v>455</v>
      </c>
      <c r="D120" s="201"/>
      <c r="F120" s="187" t="s">
        <v>456</v>
      </c>
      <c r="H120" s="201"/>
      <c r="J120" s="187" t="s">
        <v>457</v>
      </c>
      <c r="L120" s="201"/>
    </row>
    <row r="121" spans="1:14" ht="12.75" customHeight="1" thickBot="1">
      <c r="A121" s="201"/>
      <c r="B121" s="213"/>
      <c r="C121" s="201"/>
      <c r="D121" s="201"/>
      <c r="F121" s="213"/>
      <c r="G121" s="201"/>
      <c r="H121" s="201"/>
      <c r="I121" s="11" t="s">
        <v>460</v>
      </c>
      <c r="J121" s="213"/>
      <c r="K121" s="201"/>
      <c r="L121" s="201"/>
      <c r="M121" s="11" t="s">
        <v>460</v>
      </c>
      <c r="N121" s="103" t="s">
        <v>461</v>
      </c>
    </row>
    <row r="122" spans="1:14" ht="12.75">
      <c r="A122" s="201"/>
      <c r="B122" s="334">
        <v>400</v>
      </c>
      <c r="C122" s="335" t="s">
        <v>19</v>
      </c>
      <c r="D122" s="336">
        <f>punbasjub*indicesep07*0.82*frac</f>
        <v>394.1289</v>
      </c>
      <c r="E122" s="280"/>
      <c r="F122" s="334">
        <v>400</v>
      </c>
      <c r="G122" s="335" t="s">
        <v>19</v>
      </c>
      <c r="H122" s="336">
        <f>punbasjub*indicemar08*0.82*frac</f>
        <v>469.7698</v>
      </c>
      <c r="I122" s="280">
        <f>H122-D122</f>
        <v>75.64089999999999</v>
      </c>
      <c r="J122" s="334">
        <v>400</v>
      </c>
      <c r="K122" s="335" t="s">
        <v>19</v>
      </c>
      <c r="L122" s="336">
        <f>punbasjub*indicejul08*0.82*frac</f>
        <v>501.61859999999996</v>
      </c>
      <c r="M122" s="280">
        <f>L122-H122</f>
        <v>31.848799999999983</v>
      </c>
      <c r="N122" s="326">
        <f>L122-D122</f>
        <v>107.48969999999997</v>
      </c>
    </row>
    <row r="123" spans="1:14" ht="12.75">
      <c r="A123" s="201"/>
      <c r="B123" s="337" t="s">
        <v>453</v>
      </c>
      <c r="C123" s="18" t="s">
        <v>454</v>
      </c>
      <c r="D123" s="338">
        <v>0</v>
      </c>
      <c r="E123" s="280"/>
      <c r="F123" s="362" t="s">
        <v>453</v>
      </c>
      <c r="G123" s="18" t="s">
        <v>454</v>
      </c>
      <c r="H123" s="338">
        <f>compbasico*indicemar08*0.82*frac</f>
        <v>82.246</v>
      </c>
      <c r="I123" s="280">
        <f aca="true" t="shared" si="7" ref="I123:I140">H123-D123</f>
        <v>82.246</v>
      </c>
      <c r="J123" s="337" t="s">
        <v>453</v>
      </c>
      <c r="K123" s="18" t="s">
        <v>454</v>
      </c>
      <c r="L123" s="338">
        <f>compbasico*indicejul08*0.82*frac</f>
        <v>87.82199999999999</v>
      </c>
      <c r="M123" s="280">
        <f aca="true" t="shared" si="8" ref="M123:M140">L123-H123</f>
        <v>5.575999999999993</v>
      </c>
      <c r="N123" s="326">
        <f aca="true" t="shared" si="9" ref="N123:N140">L123-D123</f>
        <v>87.82199999999999</v>
      </c>
    </row>
    <row r="124" spans="1:14" ht="12.75">
      <c r="A124" s="201"/>
      <c r="B124" s="337">
        <v>404</v>
      </c>
      <c r="C124" s="18" t="s">
        <v>361</v>
      </c>
      <c r="D124" s="338">
        <f>C108*indicesep07*0.82*frac</f>
        <v>0</v>
      </c>
      <c r="E124" s="280"/>
      <c r="F124" s="337">
        <v>404</v>
      </c>
      <c r="G124" s="18" t="s">
        <v>361</v>
      </c>
      <c r="H124" s="338">
        <f>C108*indicemar08*0.82*frac</f>
        <v>0</v>
      </c>
      <c r="I124" s="280">
        <f t="shared" si="7"/>
        <v>0</v>
      </c>
      <c r="J124" s="337">
        <v>404</v>
      </c>
      <c r="K124" s="18" t="s">
        <v>361</v>
      </c>
      <c r="L124" s="338">
        <f>C108*indicemar08*0.82*frac</f>
        <v>0</v>
      </c>
      <c r="M124" s="280">
        <f t="shared" si="8"/>
        <v>0</v>
      </c>
      <c r="N124" s="326">
        <f t="shared" si="9"/>
        <v>0</v>
      </c>
    </row>
    <row r="125" spans="1:14" ht="12.75">
      <c r="A125" s="201"/>
      <c r="B125" s="337">
        <v>406</v>
      </c>
      <c r="C125" s="18" t="s">
        <v>20</v>
      </c>
      <c r="D125" s="338">
        <f>(D122+D124+D127)*porcantigcargo</f>
        <v>839.0026799999998</v>
      </c>
      <c r="E125" s="280"/>
      <c r="F125" s="337">
        <v>406</v>
      </c>
      <c r="G125" s="18" t="s">
        <v>20</v>
      </c>
      <c r="H125" s="338">
        <f>(H122+H123+H124+H127)*porcantigcargo</f>
        <v>1095.57576</v>
      </c>
      <c r="I125" s="280">
        <f t="shared" si="7"/>
        <v>256.5730800000001</v>
      </c>
      <c r="J125" s="337">
        <v>406</v>
      </c>
      <c r="K125" s="18" t="s">
        <v>20</v>
      </c>
      <c r="L125" s="338">
        <f>(L122+L123+L124+L127)*porcantigcargo</f>
        <v>1177.09032</v>
      </c>
      <c r="M125" s="280">
        <f t="shared" si="8"/>
        <v>81.51456000000007</v>
      </c>
      <c r="N125" s="326">
        <f t="shared" si="9"/>
        <v>338.0876400000002</v>
      </c>
    </row>
    <row r="126" spans="1:14" ht="12.75">
      <c r="A126" s="201"/>
      <c r="B126" s="337">
        <v>408</v>
      </c>
      <c r="C126" s="18" t="s">
        <v>385</v>
      </c>
      <c r="D126" s="338">
        <f>(D122+D127)*porczona</f>
        <v>0</v>
      </c>
      <c r="E126" s="280"/>
      <c r="F126" s="337">
        <v>408</v>
      </c>
      <c r="G126" s="18" t="s">
        <v>385</v>
      </c>
      <c r="H126" s="338">
        <f>(H122+H123+H127)*porczona</f>
        <v>0</v>
      </c>
      <c r="I126" s="280">
        <f t="shared" si="7"/>
        <v>0</v>
      </c>
      <c r="J126" s="337">
        <v>408</v>
      </c>
      <c r="K126" s="18" t="s">
        <v>385</v>
      </c>
      <c r="L126" s="338">
        <f>(L122+L123+L127)*porczona</f>
        <v>0</v>
      </c>
      <c r="M126" s="280">
        <f t="shared" si="8"/>
        <v>0</v>
      </c>
      <c r="N126" s="326">
        <f t="shared" si="9"/>
        <v>0</v>
      </c>
    </row>
    <row r="127" spans="1:14" ht="12.75">
      <c r="A127" s="201"/>
      <c r="B127" s="337">
        <v>416</v>
      </c>
      <c r="C127" s="102" t="s">
        <v>362</v>
      </c>
      <c r="D127" s="338">
        <f>puntosproljor*proljorsep07*0.82*frac</f>
        <v>305.03999999999996</v>
      </c>
      <c r="E127" s="280"/>
      <c r="F127" s="337">
        <v>416</v>
      </c>
      <c r="G127" s="102" t="s">
        <v>362</v>
      </c>
      <c r="H127" s="338">
        <f>puntosproljor*proljormar08*0.82*frac</f>
        <v>360.96399999999994</v>
      </c>
      <c r="I127" s="280">
        <f t="shared" si="7"/>
        <v>55.92399999999998</v>
      </c>
      <c r="J127" s="337">
        <v>416</v>
      </c>
      <c r="K127" s="102" t="s">
        <v>362</v>
      </c>
      <c r="L127" s="338">
        <f>puntosproljor*proljorjul08*0.82*frac</f>
        <v>391.468</v>
      </c>
      <c r="M127" s="280">
        <f t="shared" si="8"/>
        <v>30.504000000000076</v>
      </c>
      <c r="N127" s="326">
        <f t="shared" si="9"/>
        <v>86.42800000000005</v>
      </c>
    </row>
    <row r="128" spans="1:14" ht="12.75">
      <c r="A128" s="202"/>
      <c r="B128" s="337">
        <v>432</v>
      </c>
      <c r="C128" s="18" t="s">
        <v>383</v>
      </c>
      <c r="D128" s="338">
        <f>cod06sep07*0.82*frac</f>
        <v>508.4</v>
      </c>
      <c r="E128" s="280"/>
      <c r="F128" s="337">
        <v>432</v>
      </c>
      <c r="G128" s="18" t="s">
        <v>383</v>
      </c>
      <c r="H128" s="338">
        <f>cod06sep07*0.82*frac</f>
        <v>508.4</v>
      </c>
      <c r="I128" s="280">
        <f t="shared" si="7"/>
        <v>0</v>
      </c>
      <c r="J128" s="337">
        <v>432</v>
      </c>
      <c r="K128" s="18" t="s">
        <v>383</v>
      </c>
      <c r="L128" s="338">
        <f>cod06sep07*0.82*frac</f>
        <v>508.4</v>
      </c>
      <c r="M128" s="280">
        <f t="shared" si="8"/>
        <v>0</v>
      </c>
      <c r="N128" s="326">
        <f t="shared" si="9"/>
        <v>0</v>
      </c>
    </row>
    <row r="129" spans="1:14" ht="12.75">
      <c r="A129" s="202"/>
      <c r="B129" s="337">
        <v>434</v>
      </c>
      <c r="C129" s="18" t="s">
        <v>360</v>
      </c>
      <c r="D129" s="338">
        <f>(D122+D124+D125+D127+D128+D126)*0.07*0.95</f>
        <v>136.09701006999998</v>
      </c>
      <c r="E129" s="280"/>
      <c r="F129" s="337">
        <v>434</v>
      </c>
      <c r="G129" s="18" t="s">
        <v>360</v>
      </c>
      <c r="H129" s="338">
        <f>(H122+H124+H125+H127+H128+H126)*0.07*0.95</f>
        <v>161.90818574</v>
      </c>
      <c r="I129" s="280">
        <f t="shared" si="7"/>
        <v>25.81117567000001</v>
      </c>
      <c r="J129" s="337">
        <v>434</v>
      </c>
      <c r="K129" s="18" t="s">
        <v>360</v>
      </c>
      <c r="L129" s="338">
        <f>(L122+L124+L125+L127+L128+L126)*0.07*0.95</f>
        <v>171.47536517999998</v>
      </c>
      <c r="M129" s="280">
        <f t="shared" si="8"/>
        <v>9.56717943999999</v>
      </c>
      <c r="N129" s="326">
        <f t="shared" si="9"/>
        <v>35.37835511</v>
      </c>
    </row>
    <row r="130" spans="1:14" ht="13.5" thickBot="1">
      <c r="A130" s="202"/>
      <c r="B130" s="337"/>
      <c r="C130" s="103" t="s">
        <v>381</v>
      </c>
      <c r="D130" s="340">
        <v>0</v>
      </c>
      <c r="E130" s="280"/>
      <c r="F130" s="337"/>
      <c r="G130" s="103" t="s">
        <v>381</v>
      </c>
      <c r="H130" s="351">
        <f>D130</f>
        <v>0</v>
      </c>
      <c r="I130" s="280">
        <f t="shared" si="7"/>
        <v>0</v>
      </c>
      <c r="J130" s="337"/>
      <c r="K130" s="103" t="s">
        <v>381</v>
      </c>
      <c r="L130" s="351">
        <f>H130</f>
        <v>0</v>
      </c>
      <c r="M130" s="280">
        <f t="shared" si="8"/>
        <v>0</v>
      </c>
      <c r="N130" s="326">
        <f t="shared" si="9"/>
        <v>0</v>
      </c>
    </row>
    <row r="131" spans="1:14" ht="16.5" thickBot="1">
      <c r="A131" s="202"/>
      <c r="B131" s="341"/>
      <c r="C131" s="105" t="s">
        <v>21</v>
      </c>
      <c r="D131" s="106">
        <f>SUM(D122:D130)</f>
        <v>2182.66859007</v>
      </c>
      <c r="E131" s="280"/>
      <c r="F131" s="341"/>
      <c r="G131" s="105" t="s">
        <v>21</v>
      </c>
      <c r="H131" s="106">
        <f>SUM(H122:H130)</f>
        <v>2678.86374574</v>
      </c>
      <c r="I131" s="287">
        <f t="shared" si="7"/>
        <v>496.1951556700001</v>
      </c>
      <c r="J131" s="341"/>
      <c r="K131" s="105" t="s">
        <v>21</v>
      </c>
      <c r="L131" s="106">
        <f>SUM(L122:L130)</f>
        <v>2837.8742851800002</v>
      </c>
      <c r="M131" s="287">
        <f t="shared" si="8"/>
        <v>159.01053944000023</v>
      </c>
      <c r="N131" s="327">
        <f t="shared" si="9"/>
        <v>655.2056951100003</v>
      </c>
    </row>
    <row r="132" spans="1:14" ht="12.75">
      <c r="A132" s="202"/>
      <c r="B132" s="337">
        <v>703</v>
      </c>
      <c r="C132" s="107" t="s">
        <v>363</v>
      </c>
      <c r="D132" s="342">
        <f>(D131-D130)*0.0025</f>
        <v>5.456671475175</v>
      </c>
      <c r="E132" s="287"/>
      <c r="F132" s="337">
        <v>703</v>
      </c>
      <c r="G132" s="107" t="s">
        <v>363</v>
      </c>
      <c r="H132" s="342">
        <f>(H131-H130)*0.0025</f>
        <v>6.69715936435</v>
      </c>
      <c r="I132" s="15">
        <f t="shared" si="7"/>
        <v>1.2404878891750002</v>
      </c>
      <c r="J132" s="337">
        <v>703</v>
      </c>
      <c r="K132" s="107" t="s">
        <v>363</v>
      </c>
      <c r="L132" s="342">
        <f>(L131-L130)*0.0025</f>
        <v>7.0946857129500005</v>
      </c>
      <c r="M132" s="15">
        <f t="shared" si="8"/>
        <v>0.39752634860000047</v>
      </c>
      <c r="N132" s="328">
        <f t="shared" si="9"/>
        <v>1.6380142377750007</v>
      </c>
    </row>
    <row r="133" spans="1:14" ht="12.75">
      <c r="A133" s="201"/>
      <c r="B133" s="343">
        <v>707</v>
      </c>
      <c r="C133" s="109" t="s">
        <v>23</v>
      </c>
      <c r="D133" s="344">
        <f>(D131-D130)*0.03</f>
        <v>65.4800577021</v>
      </c>
      <c r="E133" s="287"/>
      <c r="F133" s="343">
        <v>707</v>
      </c>
      <c r="G133" s="109" t="s">
        <v>23</v>
      </c>
      <c r="H133" s="344">
        <f>(H131-H130)*0.03</f>
        <v>80.3659123722</v>
      </c>
      <c r="I133" s="15">
        <f t="shared" si="7"/>
        <v>14.885854670100002</v>
      </c>
      <c r="J133" s="343">
        <v>707</v>
      </c>
      <c r="K133" s="109" t="s">
        <v>23</v>
      </c>
      <c r="L133" s="344">
        <f>(L131-L130)*0.03</f>
        <v>85.13622855540001</v>
      </c>
      <c r="M133" s="15">
        <f t="shared" si="8"/>
        <v>4.770316183200009</v>
      </c>
      <c r="N133" s="328">
        <f t="shared" si="9"/>
        <v>19.65617085330001</v>
      </c>
    </row>
    <row r="134" spans="1:14" ht="12.75">
      <c r="A134" s="203"/>
      <c r="B134" s="343">
        <v>709</v>
      </c>
      <c r="C134" s="109" t="s">
        <v>24</v>
      </c>
      <c r="D134" s="344">
        <f>(D131-D130)*0.0213</f>
        <v>46.490840968491</v>
      </c>
      <c r="E134" s="287"/>
      <c r="F134" s="343">
        <v>709</v>
      </c>
      <c r="G134" s="109" t="s">
        <v>24</v>
      </c>
      <c r="H134" s="344">
        <f>(H131-H130)*0.0213</f>
        <v>57.059797784261995</v>
      </c>
      <c r="I134" s="15">
        <f t="shared" si="7"/>
        <v>10.568956815770996</v>
      </c>
      <c r="J134" s="343">
        <v>709</v>
      </c>
      <c r="K134" s="109" t="s">
        <v>24</v>
      </c>
      <c r="L134" s="344">
        <f>(L131-L130)*0.0213</f>
        <v>60.446722274334</v>
      </c>
      <c r="M134" s="15">
        <f t="shared" si="8"/>
        <v>3.386924490072005</v>
      </c>
      <c r="N134" s="328">
        <f t="shared" si="9"/>
        <v>13.955881305843</v>
      </c>
    </row>
    <row r="135" spans="1:14" ht="12.75">
      <c r="A135" s="203"/>
      <c r="B135" s="345">
        <v>710</v>
      </c>
      <c r="C135" s="109" t="s">
        <v>25</v>
      </c>
      <c r="D135" s="344">
        <f>(D131-D130)*0.00754</f>
        <v>16.4573211691278</v>
      </c>
      <c r="E135" s="287"/>
      <c r="F135" s="345">
        <v>710</v>
      </c>
      <c r="G135" s="109" t="s">
        <v>25</v>
      </c>
      <c r="H135" s="344">
        <f>(H131-H130)*0.00754</f>
        <v>20.1986326428796</v>
      </c>
      <c r="I135" s="15">
        <f t="shared" si="7"/>
        <v>3.7413114737518</v>
      </c>
      <c r="J135" s="345">
        <v>710</v>
      </c>
      <c r="K135" s="109" t="s">
        <v>25</v>
      </c>
      <c r="L135" s="344">
        <f>(L131-L130)*0.00754</f>
        <v>21.3975721102572</v>
      </c>
      <c r="M135" s="15">
        <f t="shared" si="8"/>
        <v>1.1989394673776026</v>
      </c>
      <c r="N135" s="328">
        <f t="shared" si="9"/>
        <v>4.940250941129403</v>
      </c>
    </row>
    <row r="136" spans="1:14" ht="12.75">
      <c r="A136" s="203"/>
      <c r="B136" s="345">
        <v>713</v>
      </c>
      <c r="C136" s="109" t="s">
        <v>26</v>
      </c>
      <c r="D136" s="344">
        <f>(D131-D130)*0.007</f>
        <v>15.27868013049</v>
      </c>
      <c r="E136" s="287"/>
      <c r="F136" s="345">
        <v>713</v>
      </c>
      <c r="G136" s="109" t="s">
        <v>26</v>
      </c>
      <c r="H136" s="344">
        <f>(H131-H130)*0.007</f>
        <v>18.752046220180002</v>
      </c>
      <c r="I136" s="15">
        <f t="shared" si="7"/>
        <v>3.4733660896900016</v>
      </c>
      <c r="J136" s="345">
        <v>713</v>
      </c>
      <c r="K136" s="109" t="s">
        <v>26</v>
      </c>
      <c r="L136" s="344">
        <f>(L131-L130)*0.007</f>
        <v>19.865119996260002</v>
      </c>
      <c r="M136" s="15">
        <f t="shared" si="8"/>
        <v>1.1130737760800002</v>
      </c>
      <c r="N136" s="328">
        <f t="shared" si="9"/>
        <v>4.586439865770002</v>
      </c>
    </row>
    <row r="137" spans="1:14" ht="13.5" thickBot="1">
      <c r="A137" s="151"/>
      <c r="B137" s="345"/>
      <c r="C137" s="110" t="s">
        <v>27</v>
      </c>
      <c r="D137" s="346">
        <v>0</v>
      </c>
      <c r="E137" s="287"/>
      <c r="F137" s="345"/>
      <c r="G137" s="110" t="s">
        <v>27</v>
      </c>
      <c r="H137" s="354">
        <f>D137</f>
        <v>0</v>
      </c>
      <c r="I137" s="15">
        <f t="shared" si="7"/>
        <v>0</v>
      </c>
      <c r="J137" s="345"/>
      <c r="K137" s="110" t="s">
        <v>27</v>
      </c>
      <c r="L137" s="354">
        <f>H137</f>
        <v>0</v>
      </c>
      <c r="M137" s="15">
        <f t="shared" si="8"/>
        <v>0</v>
      </c>
      <c r="N137" s="328">
        <f t="shared" si="9"/>
        <v>0</v>
      </c>
    </row>
    <row r="138" spans="1:14" ht="16.5" thickBot="1">
      <c r="A138" s="202"/>
      <c r="B138" s="347"/>
      <c r="C138" s="105" t="s">
        <v>28</v>
      </c>
      <c r="D138" s="106">
        <f>SUM(D132:D137)</f>
        <v>149.16357144538378</v>
      </c>
      <c r="E138" s="287"/>
      <c r="F138" s="347"/>
      <c r="G138" s="105" t="s">
        <v>28</v>
      </c>
      <c r="H138" s="106">
        <f>SUM(H132:H137)</f>
        <v>183.0735483838716</v>
      </c>
      <c r="I138" s="15">
        <f t="shared" si="7"/>
        <v>33.90997693848783</v>
      </c>
      <c r="J138" s="347"/>
      <c r="K138" s="105" t="s">
        <v>28</v>
      </c>
      <c r="L138" s="106">
        <f>SUM(L132:L137)</f>
        <v>193.94032864920123</v>
      </c>
      <c r="M138" s="15">
        <f t="shared" si="8"/>
        <v>10.866780265329623</v>
      </c>
      <c r="N138" s="328">
        <f t="shared" si="9"/>
        <v>44.77675720381745</v>
      </c>
    </row>
    <row r="139" spans="1:14" ht="13.5" thickBot="1">
      <c r="A139" s="202"/>
      <c r="B139" s="348"/>
      <c r="C139" s="113"/>
      <c r="D139" s="349"/>
      <c r="E139" s="280"/>
      <c r="F139" s="348"/>
      <c r="G139" s="113"/>
      <c r="H139" s="349"/>
      <c r="I139" s="15"/>
      <c r="J139" s="348"/>
      <c r="K139" s="113"/>
      <c r="L139" s="349"/>
      <c r="M139" s="15"/>
      <c r="N139" s="328">
        <f t="shared" si="9"/>
        <v>0</v>
      </c>
    </row>
    <row r="140" spans="1:14" ht="16.5" thickBot="1">
      <c r="A140" s="201"/>
      <c r="B140" s="350"/>
      <c r="C140" s="116" t="s">
        <v>29</v>
      </c>
      <c r="D140" s="117">
        <f>D131-D138</f>
        <v>2033.5050186246162</v>
      </c>
      <c r="E140" s="280"/>
      <c r="F140" s="350"/>
      <c r="G140" s="116" t="s">
        <v>29</v>
      </c>
      <c r="H140" s="117">
        <f>H131-H138</f>
        <v>2495.7901973561284</v>
      </c>
      <c r="I140" s="321">
        <f t="shared" si="7"/>
        <v>462.28517873151213</v>
      </c>
      <c r="J140" s="350"/>
      <c r="K140" s="116" t="s">
        <v>29</v>
      </c>
      <c r="L140" s="117">
        <f>L131-L138</f>
        <v>2643.933956530799</v>
      </c>
      <c r="M140" s="321">
        <f t="shared" si="8"/>
        <v>148.14375917467078</v>
      </c>
      <c r="N140" s="329">
        <f t="shared" si="9"/>
        <v>610.4289379061829</v>
      </c>
    </row>
    <row r="141" spans="1:3" ht="15.75">
      <c r="A141" s="204"/>
      <c r="B141" s="216"/>
      <c r="C141" s="217"/>
    </row>
    <row r="142" spans="1:14" ht="18">
      <c r="A142" s="204"/>
      <c r="B142" s="216"/>
      <c r="C142" s="317"/>
      <c r="D142" s="318"/>
      <c r="E142" s="78"/>
      <c r="F142" s="319"/>
      <c r="G142" s="277" t="s">
        <v>419</v>
      </c>
      <c r="H142" s="278">
        <f>H140-D140</f>
        <v>462.28517873151213</v>
      </c>
      <c r="J142" s="319"/>
      <c r="K142" s="277" t="s">
        <v>419</v>
      </c>
      <c r="L142" s="278">
        <f>L140-H140</f>
        <v>148.14375917467078</v>
      </c>
      <c r="M142" s="322" t="s">
        <v>458</v>
      </c>
      <c r="N142" s="323">
        <f>L140-D140</f>
        <v>610.4289379061829</v>
      </c>
    </row>
    <row r="143" spans="1:14" ht="18">
      <c r="A143" s="204"/>
      <c r="B143" s="216"/>
      <c r="C143" s="317"/>
      <c r="D143" s="320"/>
      <c r="E143" s="78"/>
      <c r="F143" s="317"/>
      <c r="G143" s="277" t="s">
        <v>420</v>
      </c>
      <c r="H143" s="279">
        <f>H142/D140</f>
        <v>0.22733417154002594</v>
      </c>
      <c r="J143" s="317"/>
      <c r="K143" s="277" t="s">
        <v>420</v>
      </c>
      <c r="L143" s="279">
        <f>L142/H140</f>
        <v>0.0593574569415347</v>
      </c>
      <c r="M143" s="324" t="s">
        <v>459</v>
      </c>
      <c r="N143" s="325">
        <f>N142/D140</f>
        <v>0.30018560678008716</v>
      </c>
    </row>
    <row r="144" spans="1:2" ht="12.75">
      <c r="A144" s="204"/>
      <c r="B144" s="12"/>
    </row>
    <row r="145" spans="1:10" ht="12.75">
      <c r="A145" s="201"/>
      <c r="B145" s="201"/>
      <c r="C145" s="201"/>
      <c r="D145" s="201"/>
      <c r="E145" s="201"/>
      <c r="F145" s="201"/>
      <c r="G145" s="201"/>
      <c r="H145" s="15"/>
      <c r="I145" s="12"/>
      <c r="J145" s="119"/>
    </row>
    <row r="146" spans="1:10" ht="12.75">
      <c r="A146" s="118"/>
      <c r="B146" s="118"/>
      <c r="C146" s="118"/>
      <c r="D146" s="118"/>
      <c r="E146" s="118"/>
      <c r="F146" s="201"/>
      <c r="G146" s="201"/>
      <c r="H146" s="15"/>
      <c r="I146" s="12"/>
      <c r="J146" s="119"/>
    </row>
    <row r="147" spans="1:10" ht="12.75">
      <c r="A147" s="201"/>
      <c r="B147" s="201"/>
      <c r="C147" s="201"/>
      <c r="D147" s="201"/>
      <c r="E147" s="201"/>
      <c r="F147" s="201"/>
      <c r="G147" s="201"/>
      <c r="H147" s="15"/>
      <c r="I147" s="12"/>
      <c r="J147" s="119"/>
    </row>
    <row r="148" spans="1:10" ht="20.25">
      <c r="A148" s="201"/>
      <c r="B148" s="90" t="s">
        <v>30</v>
      </c>
      <c r="E148" s="201"/>
      <c r="F148" s="201"/>
      <c r="G148" s="201"/>
      <c r="H148" s="15"/>
      <c r="I148" s="12"/>
      <c r="J148" s="119"/>
    </row>
    <row r="149" spans="1:10" ht="13.5" thickBot="1">
      <c r="A149" s="201"/>
      <c r="B149" s="201"/>
      <c r="C149" s="201"/>
      <c r="D149" s="201"/>
      <c r="E149" s="201"/>
      <c r="F149" s="201"/>
      <c r="G149" s="201"/>
      <c r="H149" s="15"/>
      <c r="I149" s="12"/>
      <c r="J149" s="119"/>
    </row>
    <row r="150" spans="1:10" ht="16.5" thickBot="1">
      <c r="A150" s="201"/>
      <c r="B150" s="120" t="s">
        <v>31</v>
      </c>
      <c r="C150" s="43"/>
      <c r="D150" s="13">
        <v>36</v>
      </c>
      <c r="E150" s="201"/>
      <c r="F150" s="218"/>
      <c r="G150" s="201"/>
      <c r="H150" s="15"/>
      <c r="I150" s="12"/>
      <c r="J150" s="12"/>
    </row>
    <row r="151" spans="1:10" ht="16.5" thickBot="1">
      <c r="A151" s="201"/>
      <c r="B151" s="94" t="s">
        <v>15</v>
      </c>
      <c r="C151" s="43"/>
      <c r="D151" s="133">
        <v>1.2</v>
      </c>
      <c r="E151" s="206"/>
      <c r="F151" s="435"/>
      <c r="G151" s="201"/>
      <c r="H151" s="15"/>
      <c r="I151" s="12"/>
      <c r="J151" s="121"/>
    </row>
    <row r="152" spans="1:10" ht="12.75">
      <c r="A152" s="201"/>
      <c r="E152" s="201"/>
      <c r="F152" s="201"/>
      <c r="G152" s="201"/>
      <c r="H152" s="15"/>
      <c r="I152" s="12"/>
      <c r="J152" s="122"/>
    </row>
    <row r="153" spans="1:10" ht="18.75" thickBot="1">
      <c r="A153" s="201"/>
      <c r="B153" s="98" t="s">
        <v>17</v>
      </c>
      <c r="C153" s="123"/>
      <c r="D153" s="99">
        <f>D150*64.73</f>
        <v>2330.28</v>
      </c>
      <c r="E153" s="206"/>
      <c r="F153" s="201"/>
      <c r="G153" s="201"/>
      <c r="H153" s="15"/>
      <c r="I153" s="79"/>
      <c r="J153" s="124"/>
    </row>
    <row r="154" spans="1:10" ht="18">
      <c r="A154" s="201"/>
      <c r="B154" s="208"/>
      <c r="C154" s="209"/>
      <c r="D154" s="210"/>
      <c r="E154" s="201"/>
      <c r="F154" s="201"/>
      <c r="G154" s="201"/>
      <c r="H154" s="15"/>
      <c r="I154" s="79"/>
      <c r="J154" s="124"/>
    </row>
    <row r="155" spans="1:10" ht="18">
      <c r="A155" s="201"/>
      <c r="B155" s="208"/>
      <c r="C155" s="209"/>
      <c r="D155" s="210"/>
      <c r="E155" s="201"/>
      <c r="F155" s="201"/>
      <c r="G155" s="201"/>
      <c r="H155" s="15"/>
      <c r="I155" s="79"/>
      <c r="J155" s="124"/>
    </row>
    <row r="156" spans="1:12" ht="15.75">
      <c r="A156" s="153"/>
      <c r="B156" s="187" t="s">
        <v>455</v>
      </c>
      <c r="D156" s="201"/>
      <c r="F156" s="187" t="s">
        <v>456</v>
      </c>
      <c r="H156" s="201"/>
      <c r="J156" s="187" t="s">
        <v>462</v>
      </c>
      <c r="L156" s="201"/>
    </row>
    <row r="157" spans="1:14" ht="13.5" thickBot="1">
      <c r="A157" s="201"/>
      <c r="B157" s="211"/>
      <c r="C157" s="201"/>
      <c r="D157" s="201"/>
      <c r="F157" s="211"/>
      <c r="G157" s="201"/>
      <c r="H157" s="201"/>
      <c r="J157" s="211"/>
      <c r="K157" s="201"/>
      <c r="L157" s="201"/>
      <c r="M157" s="11" t="s">
        <v>460</v>
      </c>
      <c r="N157" s="11" t="s">
        <v>461</v>
      </c>
    </row>
    <row r="158" spans="1:14" ht="12.75">
      <c r="A158" s="201"/>
      <c r="B158" s="334">
        <v>400</v>
      </c>
      <c r="C158" s="335" t="s">
        <v>19</v>
      </c>
      <c r="D158" s="336">
        <f>puntotalhorasmed*indicesep07*0.82</f>
        <v>945.8606520000001</v>
      </c>
      <c r="E158" s="280"/>
      <c r="F158" s="334">
        <v>400</v>
      </c>
      <c r="G158" s="335" t="s">
        <v>19</v>
      </c>
      <c r="H158" s="336">
        <f>puntotalhorasmed*indicemar08*0.82</f>
        <v>1127.3894639999999</v>
      </c>
      <c r="I158" s="280">
        <f>H158-D158</f>
        <v>181.5288119999998</v>
      </c>
      <c r="J158" s="334">
        <v>400</v>
      </c>
      <c r="K158" s="335" t="s">
        <v>19</v>
      </c>
      <c r="L158" s="336">
        <f>puntotalhorasmed*indicejul08*0.82</f>
        <v>1203.822648</v>
      </c>
      <c r="M158" s="280">
        <f aca="true" t="shared" si="10" ref="M158:M164">L158-H158</f>
        <v>76.43318400000021</v>
      </c>
      <c r="N158" s="232">
        <f>L158-D158</f>
        <v>257.961996</v>
      </c>
    </row>
    <row r="159" spans="1:14" ht="12.75">
      <c r="A159" s="201"/>
      <c r="B159" s="337">
        <v>406</v>
      </c>
      <c r="C159" s="18" t="s">
        <v>20</v>
      </c>
      <c r="D159" s="338">
        <f>D158*porcantighorasmed</f>
        <v>1135.0327824</v>
      </c>
      <c r="E159" s="280"/>
      <c r="F159" s="337">
        <v>406</v>
      </c>
      <c r="G159" s="18" t="s">
        <v>20</v>
      </c>
      <c r="H159" s="338">
        <f>H158*porcantighorasmed</f>
        <v>1352.8673567999997</v>
      </c>
      <c r="I159" s="280">
        <f aca="true" t="shared" si="11" ref="I159:I172">H159-D159</f>
        <v>217.8345743999996</v>
      </c>
      <c r="J159" s="337">
        <v>406</v>
      </c>
      <c r="K159" s="18" t="s">
        <v>20</v>
      </c>
      <c r="L159" s="338">
        <f>L158*porcantighorasmed</f>
        <v>1444.5871776000001</v>
      </c>
      <c r="M159" s="280">
        <f t="shared" si="10"/>
        <v>91.71982080000043</v>
      </c>
      <c r="N159" s="232">
        <f aca="true" t="shared" si="12" ref="N159:N172">L159-D159</f>
        <v>309.55439520000004</v>
      </c>
    </row>
    <row r="160" spans="1:14" ht="12.75">
      <c r="A160" s="202"/>
      <c r="B160" s="337">
        <v>432</v>
      </c>
      <c r="C160" s="18" t="s">
        <v>364</v>
      </c>
      <c r="D160" s="339">
        <f>IF(numhorasmed&gt;20,188,cod06medsep07*D150)*0.82</f>
        <v>154.16</v>
      </c>
      <c r="E160" s="280"/>
      <c r="F160" s="337">
        <v>432</v>
      </c>
      <c r="G160" s="18" t="s">
        <v>364</v>
      </c>
      <c r="H160" s="339">
        <f>IF(numhorasmed&gt;30,282,cod06medsep07*numhorasmed)*0.82</f>
        <v>231.23999999999998</v>
      </c>
      <c r="I160" s="280">
        <f t="shared" si="11"/>
        <v>77.07999999999998</v>
      </c>
      <c r="J160" s="337">
        <v>432</v>
      </c>
      <c r="K160" s="18" t="s">
        <v>364</v>
      </c>
      <c r="L160" s="339">
        <f>IF(numhorasmed&gt;30,282,cod06medsep07*numhorasmed)*0.82</f>
        <v>231.23999999999998</v>
      </c>
      <c r="M160" s="280">
        <f t="shared" si="10"/>
        <v>0</v>
      </c>
      <c r="N160" s="232">
        <f t="shared" si="12"/>
        <v>77.07999999999998</v>
      </c>
    </row>
    <row r="161" spans="1:14" ht="12.75">
      <c r="A161" s="202"/>
      <c r="B161" s="337">
        <v>434</v>
      </c>
      <c r="C161" s="18" t="s">
        <v>360</v>
      </c>
      <c r="D161" s="338">
        <f>(D158+D159+D160)*0.07*0.95</f>
        <v>148.6310533876</v>
      </c>
      <c r="E161" s="280"/>
      <c r="F161" s="337">
        <v>434</v>
      </c>
      <c r="G161" s="18" t="s">
        <v>360</v>
      </c>
      <c r="H161" s="338">
        <f>(H158+H159+H160)*0.07*0.95</f>
        <v>180.31453858319995</v>
      </c>
      <c r="I161" s="280">
        <f t="shared" si="11"/>
        <v>31.683485195599957</v>
      </c>
      <c r="J161" s="337">
        <v>434</v>
      </c>
      <c r="K161" s="18" t="s">
        <v>360</v>
      </c>
      <c r="L161" s="338">
        <f>(L158+L159+L160)*0.07*0.95</f>
        <v>191.49671340240002</v>
      </c>
      <c r="M161" s="280">
        <f t="shared" si="10"/>
        <v>11.182174819200071</v>
      </c>
      <c r="N161" s="232">
        <f t="shared" si="12"/>
        <v>42.86566001480003</v>
      </c>
    </row>
    <row r="162" spans="1:14" ht="13.5" thickBot="1">
      <c r="A162" s="202"/>
      <c r="B162" s="337"/>
      <c r="C162" s="103" t="s">
        <v>381</v>
      </c>
      <c r="D162" s="340">
        <v>0</v>
      </c>
      <c r="E162" s="280"/>
      <c r="F162" s="337"/>
      <c r="G162" s="103" t="s">
        <v>381</v>
      </c>
      <c r="H162" s="351">
        <f>D162</f>
        <v>0</v>
      </c>
      <c r="I162" s="280">
        <f t="shared" si="11"/>
        <v>0</v>
      </c>
      <c r="J162" s="337"/>
      <c r="K162" s="103" t="s">
        <v>381</v>
      </c>
      <c r="L162" s="351">
        <f>H162</f>
        <v>0</v>
      </c>
      <c r="M162" s="280">
        <f t="shared" si="10"/>
        <v>0</v>
      </c>
      <c r="N162" s="232">
        <f t="shared" si="12"/>
        <v>0</v>
      </c>
    </row>
    <row r="163" spans="1:14" ht="13.5" thickBot="1">
      <c r="A163" s="202"/>
      <c r="B163" s="341"/>
      <c r="C163" s="105" t="s">
        <v>21</v>
      </c>
      <c r="D163" s="125">
        <f>SUM(D158:D162)</f>
        <v>2383.6844877875997</v>
      </c>
      <c r="E163" s="280"/>
      <c r="F163" s="341"/>
      <c r="G163" s="105" t="s">
        <v>21</v>
      </c>
      <c r="H163" s="125">
        <f>SUM(H158:H162)</f>
        <v>2891.811359383199</v>
      </c>
      <c r="I163" s="287">
        <f t="shared" si="11"/>
        <v>508.12687159559937</v>
      </c>
      <c r="J163" s="341"/>
      <c r="K163" s="105" t="s">
        <v>21</v>
      </c>
      <c r="L163" s="125">
        <f>SUM(L158:L162)</f>
        <v>3071.1465390024</v>
      </c>
      <c r="M163" s="287">
        <f t="shared" si="10"/>
        <v>179.33517961920097</v>
      </c>
      <c r="N163" s="330">
        <f t="shared" si="12"/>
        <v>687.4620512148003</v>
      </c>
    </row>
    <row r="164" spans="1:14" ht="12.75">
      <c r="A164" s="202"/>
      <c r="B164" s="337">
        <v>703</v>
      </c>
      <c r="C164" s="107" t="s">
        <v>22</v>
      </c>
      <c r="D164" s="342">
        <f>(D163-D162)*0.0025</f>
        <v>5.959211219468999</v>
      </c>
      <c r="E164" s="126"/>
      <c r="F164" s="337">
        <v>703</v>
      </c>
      <c r="G164" s="107" t="s">
        <v>22</v>
      </c>
      <c r="H164" s="342">
        <f>(H163-H162)*0.0025</f>
        <v>7.229528398457997</v>
      </c>
      <c r="I164" s="15">
        <f t="shared" si="11"/>
        <v>1.2703171789889982</v>
      </c>
      <c r="J164" s="337">
        <v>703</v>
      </c>
      <c r="K164" s="107" t="s">
        <v>22</v>
      </c>
      <c r="L164" s="342">
        <f>(L163-L162)*0.0025</f>
        <v>7.677866347506</v>
      </c>
      <c r="M164" s="15">
        <f t="shared" si="10"/>
        <v>0.4483379490480024</v>
      </c>
      <c r="N164" s="331">
        <f t="shared" si="12"/>
        <v>1.7186551280370006</v>
      </c>
    </row>
    <row r="165" spans="1:14" ht="12.75">
      <c r="A165" s="201"/>
      <c r="B165" s="343">
        <v>707</v>
      </c>
      <c r="C165" s="109" t="s">
        <v>23</v>
      </c>
      <c r="D165" s="344">
        <f>(D163-D162)*0.03</f>
        <v>71.51053463362798</v>
      </c>
      <c r="E165" s="126"/>
      <c r="F165" s="343">
        <v>707</v>
      </c>
      <c r="G165" s="109" t="s">
        <v>23</v>
      </c>
      <c r="H165" s="344">
        <f>(H163-H162)*0.03</f>
        <v>86.75434078149597</v>
      </c>
      <c r="I165" s="15">
        <f t="shared" si="11"/>
        <v>15.243806147867986</v>
      </c>
      <c r="J165" s="343">
        <v>707</v>
      </c>
      <c r="K165" s="109" t="s">
        <v>23</v>
      </c>
      <c r="L165" s="344">
        <f>(L163-L162)*0.03</f>
        <v>92.134396170072</v>
      </c>
      <c r="M165" s="15">
        <f aca="true" t="shared" si="13" ref="M165:M172">L165-H165</f>
        <v>5.380055388576025</v>
      </c>
      <c r="N165" s="331">
        <f t="shared" si="12"/>
        <v>20.62386153644401</v>
      </c>
    </row>
    <row r="166" spans="1:14" ht="12.75">
      <c r="A166" s="203"/>
      <c r="B166" s="343">
        <v>709</v>
      </c>
      <c r="C166" s="109" t="s">
        <v>24</v>
      </c>
      <c r="D166" s="344">
        <f>(D163-D162)*0.0213</f>
        <v>50.77247958987587</v>
      </c>
      <c r="E166" s="126"/>
      <c r="F166" s="343">
        <v>709</v>
      </c>
      <c r="G166" s="109" t="s">
        <v>24</v>
      </c>
      <c r="H166" s="344">
        <f>(H163-H162)*0.0213</f>
        <v>61.59558195486214</v>
      </c>
      <c r="I166" s="15">
        <f t="shared" si="11"/>
        <v>10.82310236498627</v>
      </c>
      <c r="J166" s="343">
        <v>709</v>
      </c>
      <c r="K166" s="109" t="s">
        <v>24</v>
      </c>
      <c r="L166" s="344">
        <f>(L163-L162)*0.0213</f>
        <v>65.41542128075112</v>
      </c>
      <c r="M166" s="15">
        <f t="shared" si="13"/>
        <v>3.819839325888978</v>
      </c>
      <c r="N166" s="331">
        <f t="shared" si="12"/>
        <v>14.642941690875247</v>
      </c>
    </row>
    <row r="167" spans="1:14" ht="12.75">
      <c r="A167" s="203"/>
      <c r="B167" s="345">
        <v>710</v>
      </c>
      <c r="C167" s="109" t="s">
        <v>25</v>
      </c>
      <c r="D167" s="352">
        <f>(D163-D162)*0.00754</f>
        <v>17.9729810379185</v>
      </c>
      <c r="E167" s="126"/>
      <c r="F167" s="345">
        <v>710</v>
      </c>
      <c r="G167" s="109" t="s">
        <v>25</v>
      </c>
      <c r="H167" s="352">
        <f>(H163-H162)*0.00754</f>
        <v>21.80425764974932</v>
      </c>
      <c r="I167" s="15">
        <f t="shared" si="11"/>
        <v>3.8312766118308197</v>
      </c>
      <c r="J167" s="345">
        <v>710</v>
      </c>
      <c r="K167" s="109" t="s">
        <v>25</v>
      </c>
      <c r="L167" s="352">
        <f>(L163-L162)*0.00754</f>
        <v>23.156444904078096</v>
      </c>
      <c r="M167" s="15">
        <f t="shared" si="13"/>
        <v>1.3521872543287756</v>
      </c>
      <c r="N167" s="331">
        <f t="shared" si="12"/>
        <v>5.183463866159595</v>
      </c>
    </row>
    <row r="168" spans="1:14" ht="12.75">
      <c r="A168" s="203"/>
      <c r="B168" s="345">
        <v>713</v>
      </c>
      <c r="C168" s="109" t="s">
        <v>26</v>
      </c>
      <c r="D168" s="344">
        <f>(D163-D162)*0.007</f>
        <v>16.685791414513197</v>
      </c>
      <c r="E168" s="126"/>
      <c r="F168" s="345">
        <v>713</v>
      </c>
      <c r="G168" s="109" t="s">
        <v>26</v>
      </c>
      <c r="H168" s="344">
        <f>(H163-H162)*0.007</f>
        <v>20.242679515682394</v>
      </c>
      <c r="I168" s="15">
        <f t="shared" si="11"/>
        <v>3.5568881011691964</v>
      </c>
      <c r="J168" s="345">
        <v>713</v>
      </c>
      <c r="K168" s="109" t="s">
        <v>26</v>
      </c>
      <c r="L168" s="344">
        <f>(L163-L162)*0.007</f>
        <v>21.4980257730168</v>
      </c>
      <c r="M168" s="15">
        <f t="shared" si="13"/>
        <v>1.2553462573344056</v>
      </c>
      <c r="N168" s="331">
        <f t="shared" si="12"/>
        <v>4.812234358503602</v>
      </c>
    </row>
    <row r="169" spans="1:14" ht="13.5" thickBot="1">
      <c r="A169" s="151"/>
      <c r="B169" s="345"/>
      <c r="C169" s="110" t="s">
        <v>27</v>
      </c>
      <c r="D169" s="346">
        <v>0</v>
      </c>
      <c r="E169" s="126"/>
      <c r="F169" s="345"/>
      <c r="G169" s="110" t="s">
        <v>27</v>
      </c>
      <c r="H169" s="353">
        <f>D169</f>
        <v>0</v>
      </c>
      <c r="I169" s="15">
        <f t="shared" si="11"/>
        <v>0</v>
      </c>
      <c r="J169" s="345"/>
      <c r="K169" s="110" t="s">
        <v>27</v>
      </c>
      <c r="L169" s="353">
        <f>H169</f>
        <v>0</v>
      </c>
      <c r="M169" s="15">
        <f t="shared" si="13"/>
        <v>0</v>
      </c>
      <c r="N169" s="331">
        <f t="shared" si="12"/>
        <v>0</v>
      </c>
    </row>
    <row r="170" spans="1:14" ht="13.5" thickBot="1">
      <c r="A170" s="202"/>
      <c r="B170" s="347"/>
      <c r="C170" s="105" t="s">
        <v>28</v>
      </c>
      <c r="D170" s="127">
        <f>SUM(D164:D169)</f>
        <v>162.90099789540457</v>
      </c>
      <c r="E170" s="126"/>
      <c r="F170" s="347"/>
      <c r="G170" s="105" t="s">
        <v>28</v>
      </c>
      <c r="H170" s="127">
        <f>SUM(H164:H169)</f>
        <v>197.62638830024784</v>
      </c>
      <c r="I170" s="15">
        <f t="shared" si="11"/>
        <v>34.72539040484327</v>
      </c>
      <c r="J170" s="347"/>
      <c r="K170" s="105" t="s">
        <v>28</v>
      </c>
      <c r="L170" s="127">
        <f>SUM(L164:L169)</f>
        <v>209.882154475424</v>
      </c>
      <c r="M170" s="15">
        <f t="shared" si="13"/>
        <v>12.255766175176149</v>
      </c>
      <c r="N170" s="331">
        <f t="shared" si="12"/>
        <v>46.981156580019416</v>
      </c>
    </row>
    <row r="171" spans="1:14" ht="13.5" thickBot="1">
      <c r="A171" s="202"/>
      <c r="B171" s="348"/>
      <c r="C171" s="113"/>
      <c r="D171" s="349"/>
      <c r="E171" s="126"/>
      <c r="F171" s="348"/>
      <c r="G171" s="113"/>
      <c r="H171" s="349"/>
      <c r="I171" s="15">
        <f t="shared" si="11"/>
        <v>0</v>
      </c>
      <c r="J171" s="348"/>
      <c r="K171" s="113"/>
      <c r="L171" s="349"/>
      <c r="M171" s="15">
        <f t="shared" si="13"/>
        <v>0</v>
      </c>
      <c r="N171" s="232"/>
    </row>
    <row r="172" spans="1:14" ht="13.5" thickBot="1">
      <c r="A172" s="201"/>
      <c r="B172" s="350"/>
      <c r="C172" s="116" t="s">
        <v>29</v>
      </c>
      <c r="D172" s="128">
        <f>D163-D170</f>
        <v>2220.783489892195</v>
      </c>
      <c r="E172" s="126"/>
      <c r="F172" s="350"/>
      <c r="G172" s="116" t="s">
        <v>29</v>
      </c>
      <c r="H172" s="128">
        <f>H163-H170</f>
        <v>2694.184971082951</v>
      </c>
      <c r="I172" s="321">
        <f t="shared" si="11"/>
        <v>473.40148119075593</v>
      </c>
      <c r="J172" s="350"/>
      <c r="K172" s="116" t="s">
        <v>29</v>
      </c>
      <c r="L172" s="128">
        <f>L163-L170</f>
        <v>2861.264384526976</v>
      </c>
      <c r="M172" s="321">
        <f t="shared" si="13"/>
        <v>167.0794134440248</v>
      </c>
      <c r="N172" s="332">
        <f t="shared" si="12"/>
        <v>640.4808946347807</v>
      </c>
    </row>
    <row r="173" spans="1:12" ht="12.75">
      <c r="A173" s="201"/>
      <c r="B173" s="4"/>
      <c r="C173" s="281"/>
      <c r="D173" s="282"/>
      <c r="F173" s="4"/>
      <c r="G173" s="281"/>
      <c r="H173" s="282"/>
      <c r="J173" s="4"/>
      <c r="K173" s="281"/>
      <c r="L173" s="282"/>
    </row>
    <row r="174" spans="1:14" ht="18">
      <c r="A174" s="201"/>
      <c r="B174" s="201"/>
      <c r="C174" s="317"/>
      <c r="D174" s="318"/>
      <c r="E174" s="78"/>
      <c r="F174" s="319"/>
      <c r="G174" s="277" t="s">
        <v>419</v>
      </c>
      <c r="H174" s="278">
        <f>H172-D172</f>
        <v>473.40148119075593</v>
      </c>
      <c r="J174" s="319"/>
      <c r="K174" s="277" t="s">
        <v>419</v>
      </c>
      <c r="L174" s="278">
        <f>L172-H172</f>
        <v>167.0794134440248</v>
      </c>
      <c r="M174" s="322" t="s">
        <v>458</v>
      </c>
      <c r="N174" s="323">
        <f>L172-D172</f>
        <v>640.4808946347807</v>
      </c>
    </row>
    <row r="175" spans="1:14" ht="18">
      <c r="A175" s="201"/>
      <c r="B175" s="201"/>
      <c r="C175" s="317"/>
      <c r="D175" s="320"/>
      <c r="E175" s="78"/>
      <c r="F175" s="317"/>
      <c r="G175" s="277" t="s">
        <v>420</v>
      </c>
      <c r="H175" s="279">
        <f>H174/D172</f>
        <v>0.21316867823694804</v>
      </c>
      <c r="J175" s="317"/>
      <c r="K175" s="277" t="s">
        <v>420</v>
      </c>
      <c r="L175" s="279">
        <f>L174/H172</f>
        <v>0.06201482646414799</v>
      </c>
      <c r="M175" s="324" t="s">
        <v>459</v>
      </c>
      <c r="N175" s="325">
        <f>N174/D172</f>
        <v>0.2884031232895522</v>
      </c>
    </row>
    <row r="176" ht="12.75">
      <c r="A176" s="201"/>
    </row>
    <row r="177" spans="1:7" ht="12.75">
      <c r="A177" s="201"/>
      <c r="B177" s="205"/>
      <c r="C177" s="201"/>
      <c r="D177" s="201"/>
      <c r="E177" s="201"/>
      <c r="F177" s="201"/>
      <c r="G177" s="201"/>
    </row>
    <row r="178" spans="1:7" ht="12.75">
      <c r="A178" s="201"/>
      <c r="B178" s="205"/>
      <c r="C178" s="201"/>
      <c r="D178" s="201"/>
      <c r="E178" s="201"/>
      <c r="F178" s="201"/>
      <c r="G178" s="201"/>
    </row>
    <row r="179" spans="1:10" ht="12.75">
      <c r="A179" s="118"/>
      <c r="B179" s="118"/>
      <c r="C179" s="118"/>
      <c r="D179" s="118"/>
      <c r="E179" s="118"/>
      <c r="F179" s="201"/>
      <c r="G179" s="201"/>
      <c r="H179" s="15"/>
      <c r="I179" s="12"/>
      <c r="J179" s="12"/>
    </row>
    <row r="180" spans="1:10" ht="20.25">
      <c r="A180" s="201"/>
      <c r="B180" s="90" t="s">
        <v>32</v>
      </c>
      <c r="E180" s="78"/>
      <c r="F180" s="201"/>
      <c r="G180" s="201"/>
      <c r="H180" s="15"/>
      <c r="I180" s="12"/>
      <c r="J180" s="12"/>
    </row>
    <row r="181" spans="1:10" ht="13.5" thickBot="1">
      <c r="A181" s="201"/>
      <c r="B181" s="201"/>
      <c r="C181" s="201"/>
      <c r="D181" s="201"/>
      <c r="E181" s="201"/>
      <c r="F181" s="201"/>
      <c r="G181" s="201"/>
      <c r="H181" s="15"/>
      <c r="I181" s="12"/>
      <c r="J181" s="12"/>
    </row>
    <row r="182" spans="1:10" ht="16.5" thickBot="1">
      <c r="A182" s="201"/>
      <c r="B182" s="120" t="s">
        <v>31</v>
      </c>
      <c r="C182" s="43"/>
      <c r="D182" s="13">
        <v>36</v>
      </c>
      <c r="E182" s="201"/>
      <c r="F182" s="201"/>
      <c r="G182" s="215"/>
      <c r="H182" s="15"/>
      <c r="I182" s="12"/>
      <c r="J182" s="121"/>
    </row>
    <row r="183" spans="1:10" ht="16.5" thickBot="1">
      <c r="A183" s="201"/>
      <c r="B183" s="94" t="s">
        <v>15</v>
      </c>
      <c r="C183" s="43"/>
      <c r="D183" s="149">
        <v>1.2</v>
      </c>
      <c r="E183" s="206"/>
      <c r="F183" s="201"/>
      <c r="G183" s="201"/>
      <c r="H183" s="15"/>
      <c r="I183" s="12"/>
      <c r="J183" s="122"/>
    </row>
    <row r="184" spans="1:10" ht="12.75">
      <c r="A184" s="201"/>
      <c r="E184" s="201"/>
      <c r="F184" s="219"/>
      <c r="G184" s="201"/>
      <c r="H184" s="15"/>
      <c r="I184" s="79"/>
      <c r="J184" s="124"/>
    </row>
    <row r="185" spans="1:10" ht="18.75" thickBot="1">
      <c r="A185" s="201"/>
      <c r="B185" s="98" t="s">
        <v>17</v>
      </c>
      <c r="C185" s="123"/>
      <c r="D185" s="129">
        <f>D182*86.9</f>
        <v>3128.4</v>
      </c>
      <c r="E185" s="201" t="s">
        <v>33</v>
      </c>
      <c r="F185" s="218"/>
      <c r="G185" s="202"/>
      <c r="H185" s="15"/>
      <c r="I185" s="12"/>
      <c r="J185" s="124"/>
    </row>
    <row r="186" spans="1:10" ht="12.75">
      <c r="A186" s="201"/>
      <c r="B186" s="201"/>
      <c r="C186" s="201"/>
      <c r="D186" s="201"/>
      <c r="E186" s="201"/>
      <c r="F186" s="201"/>
      <c r="G186" s="201"/>
      <c r="H186" s="15"/>
      <c r="I186" s="12"/>
      <c r="J186" s="12"/>
    </row>
    <row r="187" spans="1:10" ht="12.75">
      <c r="A187" s="201"/>
      <c r="B187" s="200"/>
      <c r="C187" s="200"/>
      <c r="D187" s="207"/>
      <c r="E187" s="201"/>
      <c r="F187" s="201"/>
      <c r="G187" s="201"/>
      <c r="H187" s="15"/>
      <c r="I187" s="12"/>
      <c r="J187" s="79"/>
    </row>
    <row r="188" spans="1:11" ht="15.75">
      <c r="A188" s="153"/>
      <c r="B188" s="187" t="s">
        <v>467</v>
      </c>
      <c r="C188" s="201"/>
      <c r="F188" s="187" t="s">
        <v>463</v>
      </c>
      <c r="G188" s="201"/>
      <c r="J188" s="187" t="s">
        <v>463</v>
      </c>
      <c r="K188" s="201"/>
    </row>
    <row r="189" spans="1:14" ht="13.5" thickBot="1">
      <c r="A189" s="201"/>
      <c r="B189" s="201"/>
      <c r="C189" s="201"/>
      <c r="F189" s="201"/>
      <c r="G189" s="201"/>
      <c r="I189" s="11" t="s">
        <v>460</v>
      </c>
      <c r="J189" s="201"/>
      <c r="K189" s="201"/>
      <c r="M189" s="11" t="s">
        <v>460</v>
      </c>
      <c r="N189" s="11" t="s">
        <v>461</v>
      </c>
    </row>
    <row r="190" spans="1:14" ht="12.75">
      <c r="A190" s="201"/>
      <c r="B190" s="334">
        <v>400</v>
      </c>
      <c r="C190" s="335" t="s">
        <v>19</v>
      </c>
      <c r="D190" s="336">
        <f>puntostotalhorassup*indicesep07*0.82</f>
        <v>1269.81756</v>
      </c>
      <c r="F190" s="334">
        <v>400</v>
      </c>
      <c r="G190" s="335" t="s">
        <v>19</v>
      </c>
      <c r="H190" s="336">
        <f>puntostotalhorassup*indicemar08*0.82</f>
        <v>1513.5199199999997</v>
      </c>
      <c r="I190" s="280">
        <f>H190-D190</f>
        <v>243.70235999999977</v>
      </c>
      <c r="J190" s="334">
        <v>400</v>
      </c>
      <c r="K190" s="335" t="s">
        <v>19</v>
      </c>
      <c r="L190" s="336">
        <f>puntostotalhorassup*indicejul08*0.82</f>
        <v>1616.1314399999999</v>
      </c>
      <c r="M190" s="280">
        <f>L190-H190</f>
        <v>102.61152000000016</v>
      </c>
      <c r="N190" s="232">
        <f>L190-D190</f>
        <v>346.3138799999999</v>
      </c>
    </row>
    <row r="191" spans="1:14" ht="12.75">
      <c r="A191" s="201"/>
      <c r="B191" s="337">
        <v>406</v>
      </c>
      <c r="C191" s="18" t="s">
        <v>20</v>
      </c>
      <c r="D191" s="338">
        <f>D190*porcantigsup</f>
        <v>1523.781072</v>
      </c>
      <c r="F191" s="337">
        <v>406</v>
      </c>
      <c r="G191" s="18" t="s">
        <v>20</v>
      </c>
      <c r="H191" s="338">
        <f>H190*porcantigsup</f>
        <v>1816.2239039999997</v>
      </c>
      <c r="I191" s="280">
        <f aca="true" t="shared" si="14" ref="I191:I204">H191-D191</f>
        <v>292.4428319999997</v>
      </c>
      <c r="J191" s="337">
        <v>406</v>
      </c>
      <c r="K191" s="18" t="s">
        <v>20</v>
      </c>
      <c r="L191" s="338">
        <f>L190*porcantigsup</f>
        <v>1939.3577279999997</v>
      </c>
      <c r="M191" s="280">
        <f aca="true" t="shared" si="15" ref="M191:M202">L191-H191</f>
        <v>123.133824</v>
      </c>
      <c r="N191" s="326">
        <f aca="true" t="shared" si="16" ref="N191:N204">L191-D191</f>
        <v>415.57665599999973</v>
      </c>
    </row>
    <row r="192" spans="1:14" ht="12.75">
      <c r="A192" s="202"/>
      <c r="B192" s="337">
        <v>432</v>
      </c>
      <c r="C192" s="18" t="s">
        <v>364</v>
      </c>
      <c r="D192" s="339">
        <f>IF(numhorassup&gt;15,141,cod06supsep07*numhorassup)*0.82</f>
        <v>115.61999999999999</v>
      </c>
      <c r="F192" s="337">
        <v>432</v>
      </c>
      <c r="G192" s="18" t="s">
        <v>364</v>
      </c>
      <c r="H192" s="339">
        <f>IF(numhorassup&gt;15,141,cod06supsep07*numhorassup)*0.82</f>
        <v>115.61999999999999</v>
      </c>
      <c r="I192" s="280">
        <f t="shared" si="14"/>
        <v>0</v>
      </c>
      <c r="J192" s="337">
        <v>432</v>
      </c>
      <c r="K192" s="18" t="s">
        <v>364</v>
      </c>
      <c r="L192" s="339">
        <f>IF(numhorassup&gt;15,141,cod06supsep07*numhorassup)*0.82</f>
        <v>115.61999999999999</v>
      </c>
      <c r="M192" s="280">
        <f t="shared" si="15"/>
        <v>0</v>
      </c>
      <c r="N192" s="326">
        <f t="shared" si="16"/>
        <v>0</v>
      </c>
    </row>
    <row r="193" spans="1:14" ht="12.75">
      <c r="A193" s="202"/>
      <c r="B193" s="337">
        <v>434</v>
      </c>
      <c r="C193" s="18" t="s">
        <v>360</v>
      </c>
      <c r="D193" s="338">
        <f>(D190+D191+D192)*0.07*0.95</f>
        <v>193.46303902800003</v>
      </c>
      <c r="F193" s="337">
        <v>434</v>
      </c>
      <c r="G193" s="18" t="s">
        <v>360</v>
      </c>
      <c r="H193" s="338">
        <f>(H190+H191+H192)*0.07*0.95</f>
        <v>229.11669429599996</v>
      </c>
      <c r="I193" s="280">
        <f t="shared" si="14"/>
        <v>35.65365526799994</v>
      </c>
      <c r="J193" s="337">
        <v>434</v>
      </c>
      <c r="K193" s="18" t="s">
        <v>360</v>
      </c>
      <c r="L193" s="338">
        <f>(L190+L191+L192)*0.07*0.95</f>
        <v>244.12875967199997</v>
      </c>
      <c r="M193" s="280">
        <f t="shared" si="15"/>
        <v>15.01206537600001</v>
      </c>
      <c r="N193" s="326">
        <f t="shared" si="16"/>
        <v>50.66572064399995</v>
      </c>
    </row>
    <row r="194" spans="1:14" ht="13.5" thickBot="1">
      <c r="A194" s="202"/>
      <c r="B194" s="337"/>
      <c r="C194" s="103" t="s">
        <v>381</v>
      </c>
      <c r="D194" s="340">
        <v>0</v>
      </c>
      <c r="F194" s="337"/>
      <c r="G194" s="103" t="s">
        <v>381</v>
      </c>
      <c r="H194" s="340">
        <v>0</v>
      </c>
      <c r="I194" s="280">
        <f t="shared" si="14"/>
        <v>0</v>
      </c>
      <c r="J194" s="337"/>
      <c r="K194" s="103" t="s">
        <v>381</v>
      </c>
      <c r="L194" s="340">
        <v>0</v>
      </c>
      <c r="M194" s="280">
        <f t="shared" si="15"/>
        <v>0</v>
      </c>
      <c r="N194" s="326">
        <f t="shared" si="16"/>
        <v>0</v>
      </c>
    </row>
    <row r="195" spans="1:14" ht="13.5" thickBot="1">
      <c r="A195" s="202"/>
      <c r="B195" s="341"/>
      <c r="C195" s="105" t="s">
        <v>21</v>
      </c>
      <c r="D195" s="125">
        <f>SUM(D190:D194)</f>
        <v>3102.681671028</v>
      </c>
      <c r="F195" s="341"/>
      <c r="G195" s="105" t="s">
        <v>21</v>
      </c>
      <c r="H195" s="125">
        <f>SUM(H190:H194)</f>
        <v>3674.480518295999</v>
      </c>
      <c r="I195" s="287">
        <f t="shared" si="14"/>
        <v>571.798847267999</v>
      </c>
      <c r="J195" s="341"/>
      <c r="K195" s="105" t="s">
        <v>21</v>
      </c>
      <c r="L195" s="125">
        <f>SUM(L190:L194)</f>
        <v>3915.2379276719994</v>
      </c>
      <c r="M195" s="287">
        <f t="shared" si="15"/>
        <v>240.7574093760004</v>
      </c>
      <c r="N195" s="327">
        <f t="shared" si="16"/>
        <v>812.5562566439994</v>
      </c>
    </row>
    <row r="196" spans="1:14" ht="12.75">
      <c r="A196" s="202"/>
      <c r="B196" s="337">
        <v>703</v>
      </c>
      <c r="C196" s="107" t="s">
        <v>22</v>
      </c>
      <c r="D196" s="342">
        <f>(D195-D194)*0.0025</f>
        <v>7.7567041775700005</v>
      </c>
      <c r="F196" s="337">
        <v>703</v>
      </c>
      <c r="G196" s="107" t="s">
        <v>22</v>
      </c>
      <c r="H196" s="342">
        <f>(H195-H194)*0.0025</f>
        <v>9.186201295739998</v>
      </c>
      <c r="I196" s="126">
        <f t="shared" si="14"/>
        <v>1.4294971181699978</v>
      </c>
      <c r="J196" s="337">
        <v>703</v>
      </c>
      <c r="K196" s="107" t="s">
        <v>22</v>
      </c>
      <c r="L196" s="342">
        <f>(L195-L194)*0.0025</f>
        <v>9.78809481918</v>
      </c>
      <c r="M196" s="126">
        <f t="shared" si="15"/>
        <v>0.6018935234400011</v>
      </c>
      <c r="N196" s="333">
        <f t="shared" si="16"/>
        <v>2.031390641609999</v>
      </c>
    </row>
    <row r="197" spans="1:14" ht="12.75">
      <c r="A197" s="201"/>
      <c r="B197" s="343">
        <v>707</v>
      </c>
      <c r="C197" s="109" t="s">
        <v>23</v>
      </c>
      <c r="D197" s="344">
        <f>(D195-D194)*0.03</f>
        <v>93.08045013083999</v>
      </c>
      <c r="F197" s="343">
        <v>707</v>
      </c>
      <c r="G197" s="109" t="s">
        <v>23</v>
      </c>
      <c r="H197" s="344">
        <f>(H195-H194)*0.03</f>
        <v>110.23441554887997</v>
      </c>
      <c r="I197" s="126">
        <f t="shared" si="14"/>
        <v>17.153965418039974</v>
      </c>
      <c r="J197" s="343">
        <v>707</v>
      </c>
      <c r="K197" s="109" t="s">
        <v>23</v>
      </c>
      <c r="L197" s="344">
        <f>(L195-L194)*0.03</f>
        <v>117.45713783015998</v>
      </c>
      <c r="M197" s="126">
        <f t="shared" si="15"/>
        <v>7.222722281280014</v>
      </c>
      <c r="N197" s="333">
        <f t="shared" si="16"/>
        <v>24.376687699319987</v>
      </c>
    </row>
    <row r="198" spans="1:14" ht="12.75">
      <c r="A198" s="203"/>
      <c r="B198" s="343">
        <v>709</v>
      </c>
      <c r="C198" s="109" t="s">
        <v>24</v>
      </c>
      <c r="D198" s="344">
        <f>(D195-D194)*0.0213</f>
        <v>66.0871195928964</v>
      </c>
      <c r="F198" s="343">
        <v>709</v>
      </c>
      <c r="G198" s="109" t="s">
        <v>24</v>
      </c>
      <c r="H198" s="344">
        <f>(H195-H194)*0.0213</f>
        <v>78.26643503970477</v>
      </c>
      <c r="I198" s="126">
        <f t="shared" si="14"/>
        <v>12.179315446808374</v>
      </c>
      <c r="J198" s="343">
        <v>709</v>
      </c>
      <c r="K198" s="109" t="s">
        <v>24</v>
      </c>
      <c r="L198" s="344">
        <f>(L195-L194)*0.0213</f>
        <v>83.39456785941358</v>
      </c>
      <c r="M198" s="126">
        <f t="shared" si="15"/>
        <v>5.12813281970881</v>
      </c>
      <c r="N198" s="333">
        <f t="shared" si="16"/>
        <v>17.307448266517184</v>
      </c>
    </row>
    <row r="199" spans="1:14" ht="12.75">
      <c r="A199" s="203"/>
      <c r="B199" s="345">
        <v>710</v>
      </c>
      <c r="C199" s="109" t="s">
        <v>25</v>
      </c>
      <c r="D199" s="344">
        <f>(D195-D194)*0.00754</f>
        <v>23.39421979955112</v>
      </c>
      <c r="F199" s="345">
        <v>710</v>
      </c>
      <c r="G199" s="109" t="s">
        <v>25</v>
      </c>
      <c r="H199" s="344">
        <f>(H195-H194)*0.00754</f>
        <v>27.70558310795183</v>
      </c>
      <c r="I199" s="126">
        <f t="shared" si="14"/>
        <v>4.311363308400711</v>
      </c>
      <c r="J199" s="345">
        <v>710</v>
      </c>
      <c r="K199" s="109" t="s">
        <v>25</v>
      </c>
      <c r="L199" s="344">
        <f>(L195-L194)*0.00754</f>
        <v>29.520893974646874</v>
      </c>
      <c r="M199" s="126">
        <f t="shared" si="15"/>
        <v>1.815310866695043</v>
      </c>
      <c r="N199" s="333">
        <f t="shared" si="16"/>
        <v>6.126674175095754</v>
      </c>
    </row>
    <row r="200" spans="1:14" ht="12.75">
      <c r="A200" s="203"/>
      <c r="B200" s="345">
        <v>713</v>
      </c>
      <c r="C200" s="109" t="s">
        <v>26</v>
      </c>
      <c r="D200" s="344">
        <f>(D195-D194)*0.007</f>
        <v>21.718771697196</v>
      </c>
      <c r="F200" s="345">
        <v>713</v>
      </c>
      <c r="G200" s="109" t="s">
        <v>26</v>
      </c>
      <c r="H200" s="344">
        <f>(H195-H194)*0.007</f>
        <v>25.721363628071995</v>
      </c>
      <c r="I200" s="126">
        <f t="shared" si="14"/>
        <v>4.002591930875994</v>
      </c>
      <c r="J200" s="345">
        <v>713</v>
      </c>
      <c r="K200" s="109" t="s">
        <v>26</v>
      </c>
      <c r="L200" s="344">
        <f>(L195-L194)*0.007</f>
        <v>27.406665493703997</v>
      </c>
      <c r="M200" s="126">
        <f t="shared" si="15"/>
        <v>1.6853018656320025</v>
      </c>
      <c r="N200" s="333">
        <f t="shared" si="16"/>
        <v>5.687893796507996</v>
      </c>
    </row>
    <row r="201" spans="1:14" ht="13.5" thickBot="1">
      <c r="A201" s="151"/>
      <c r="B201" s="345"/>
      <c r="C201" s="110" t="s">
        <v>27</v>
      </c>
      <c r="D201" s="346">
        <v>0</v>
      </c>
      <c r="F201" s="345"/>
      <c r="G201" s="110" t="s">
        <v>27</v>
      </c>
      <c r="H201" s="346">
        <v>0</v>
      </c>
      <c r="I201" s="126">
        <f t="shared" si="14"/>
        <v>0</v>
      </c>
      <c r="J201" s="345"/>
      <c r="K201" s="110" t="s">
        <v>27</v>
      </c>
      <c r="L201" s="346">
        <v>0</v>
      </c>
      <c r="M201" s="126">
        <f t="shared" si="15"/>
        <v>0</v>
      </c>
      <c r="N201" s="333">
        <f t="shared" si="16"/>
        <v>0</v>
      </c>
    </row>
    <row r="202" spans="1:14" ht="13.5" thickBot="1">
      <c r="A202" s="202"/>
      <c r="B202" s="347"/>
      <c r="C202" s="105" t="s">
        <v>28</v>
      </c>
      <c r="D202" s="127">
        <f>SUM(D196:D201)</f>
        <v>212.03726539805348</v>
      </c>
      <c r="F202" s="347"/>
      <c r="G202" s="105" t="s">
        <v>28</v>
      </c>
      <c r="H202" s="127">
        <f>SUM(H196:H201)</f>
        <v>251.11399862034855</v>
      </c>
      <c r="I202" s="126">
        <f t="shared" si="14"/>
        <v>39.076733222295076</v>
      </c>
      <c r="J202" s="347"/>
      <c r="K202" s="105" t="s">
        <v>28</v>
      </c>
      <c r="L202" s="127">
        <f>SUM(L196:L201)</f>
        <v>267.56735997710445</v>
      </c>
      <c r="M202" s="126">
        <f t="shared" si="15"/>
        <v>16.45336135675589</v>
      </c>
      <c r="N202" s="333">
        <f t="shared" si="16"/>
        <v>55.53009457905097</v>
      </c>
    </row>
    <row r="203" spans="1:14" ht="13.5" thickBot="1">
      <c r="A203" s="202"/>
      <c r="B203" s="348"/>
      <c r="C203" s="113"/>
      <c r="D203" s="349"/>
      <c r="F203" s="348"/>
      <c r="G203" s="113"/>
      <c r="H203" s="349"/>
      <c r="I203" s="280"/>
      <c r="J203" s="348"/>
      <c r="K203" s="113"/>
      <c r="L203" s="349"/>
      <c r="M203" s="280"/>
      <c r="N203" s="326"/>
    </row>
    <row r="204" spans="1:14" ht="13.5" thickBot="1">
      <c r="A204" s="201"/>
      <c r="B204" s="350"/>
      <c r="C204" s="116" t="s">
        <v>29</v>
      </c>
      <c r="D204" s="128">
        <f>D195-D202</f>
        <v>2890.6444056299465</v>
      </c>
      <c r="F204" s="350"/>
      <c r="G204" s="116" t="s">
        <v>29</v>
      </c>
      <c r="H204" s="128">
        <f>H195-H202</f>
        <v>3423.3665196756506</v>
      </c>
      <c r="I204" s="321">
        <f t="shared" si="14"/>
        <v>532.7221140457041</v>
      </c>
      <c r="J204" s="350"/>
      <c r="K204" s="116" t="s">
        <v>29</v>
      </c>
      <c r="L204" s="128">
        <f>L195-L202</f>
        <v>3647.670567694895</v>
      </c>
      <c r="M204" s="321">
        <f>L204-H204</f>
        <v>224.30404801924442</v>
      </c>
      <c r="N204" s="329">
        <f t="shared" si="16"/>
        <v>757.0261620649485</v>
      </c>
    </row>
    <row r="205" spans="1:3" ht="12.75">
      <c r="A205" s="201"/>
      <c r="B205" s="201"/>
      <c r="C205" s="201"/>
    </row>
    <row r="206" spans="1:14" ht="18">
      <c r="A206" s="201"/>
      <c r="B206" s="201"/>
      <c r="C206" s="317"/>
      <c r="D206" s="318"/>
      <c r="E206" s="78"/>
      <c r="F206" s="319"/>
      <c r="G206" s="277" t="s">
        <v>419</v>
      </c>
      <c r="H206" s="278">
        <f>H204-D204</f>
        <v>532.7221140457041</v>
      </c>
      <c r="J206" s="319"/>
      <c r="K206" s="277" t="s">
        <v>419</v>
      </c>
      <c r="L206" s="278">
        <f>L204-H204</f>
        <v>224.30404801924442</v>
      </c>
      <c r="M206" s="322" t="s">
        <v>458</v>
      </c>
      <c r="N206" s="323">
        <f>L204-D204</f>
        <v>757.0261620649485</v>
      </c>
    </row>
    <row r="207" spans="1:14" ht="18">
      <c r="A207" s="201"/>
      <c r="B207" s="201"/>
      <c r="C207" s="317"/>
      <c r="D207" s="320"/>
      <c r="E207" s="78"/>
      <c r="F207" s="317"/>
      <c r="G207" s="277" t="s">
        <v>420</v>
      </c>
      <c r="H207" s="279">
        <f>H206/D204</f>
        <v>0.18429181846378304</v>
      </c>
      <c r="J207" s="317"/>
      <c r="K207" s="277" t="s">
        <v>420</v>
      </c>
      <c r="L207" s="279">
        <f>L206/H204</f>
        <v>0.06552148206453111</v>
      </c>
      <c r="M207" s="324" t="s">
        <v>459</v>
      </c>
      <c r="N207" s="325">
        <f>N206/D204</f>
        <v>0.2618883736064287</v>
      </c>
    </row>
    <row r="208" spans="1:15" ht="18.75" thickBot="1">
      <c r="A208" s="201"/>
      <c r="B208" s="201"/>
      <c r="C208" s="201"/>
      <c r="D208" s="201"/>
      <c r="E208" s="201"/>
      <c r="F208" s="201"/>
      <c r="G208" s="317"/>
      <c r="H208" s="320"/>
      <c r="I208" s="12"/>
      <c r="J208" s="201"/>
      <c r="K208" s="317"/>
      <c r="L208" s="320"/>
      <c r="N208" s="277"/>
      <c r="O208" s="279"/>
    </row>
    <row r="209" spans="1:8" ht="16.5" thickTop="1">
      <c r="A209" s="201"/>
      <c r="B209" s="190" t="s">
        <v>11</v>
      </c>
      <c r="C209" s="191"/>
      <c r="D209" s="192"/>
      <c r="E209" s="201"/>
      <c r="F209" s="201"/>
      <c r="G209" s="201"/>
      <c r="H209" s="15"/>
    </row>
    <row r="210" spans="1:8" ht="15.75">
      <c r="A210" s="201"/>
      <c r="B210" s="193" t="s">
        <v>12</v>
      </c>
      <c r="C210" s="194"/>
      <c r="D210" s="195"/>
      <c r="E210" s="201"/>
      <c r="F210" s="201"/>
      <c r="G210" s="201"/>
      <c r="H210" s="15"/>
    </row>
    <row r="211" spans="1:7" ht="15.75">
      <c r="A211" s="201"/>
      <c r="B211" s="193" t="s">
        <v>13</v>
      </c>
      <c r="C211" s="194"/>
      <c r="D211" s="195"/>
      <c r="E211" s="201"/>
      <c r="F211" s="201"/>
      <c r="G211" s="201"/>
    </row>
    <row r="212" spans="1:7" ht="15.75">
      <c r="A212" s="201"/>
      <c r="B212" s="193" t="s">
        <v>379</v>
      </c>
      <c r="C212" s="194"/>
      <c r="D212" s="195"/>
      <c r="E212" s="201"/>
      <c r="F212" s="201"/>
      <c r="G212" s="201"/>
    </row>
    <row r="213" spans="1:7" ht="15.75">
      <c r="A213" s="201"/>
      <c r="B213" s="196" t="s">
        <v>409</v>
      </c>
      <c r="C213" s="194"/>
      <c r="D213" s="195"/>
      <c r="E213" s="201"/>
      <c r="F213" s="201"/>
      <c r="G213" s="201"/>
    </row>
    <row r="214" spans="1:7" ht="15.75">
      <c r="A214" s="201"/>
      <c r="B214" s="197" t="s">
        <v>380</v>
      </c>
      <c r="C214" s="194"/>
      <c r="D214" s="195"/>
      <c r="E214" s="201"/>
      <c r="F214" s="201"/>
      <c r="G214" s="201"/>
    </row>
    <row r="215" spans="1:7" ht="15.75" thickBot="1">
      <c r="A215" s="201"/>
      <c r="B215" s="188" t="s">
        <v>407</v>
      </c>
      <c r="C215" s="189"/>
      <c r="D215" s="182"/>
      <c r="E215" s="201"/>
      <c r="F215" s="201"/>
      <c r="G215" s="201"/>
    </row>
    <row r="216" spans="1:7" ht="13.5" thickTop="1">
      <c r="A216" s="201"/>
      <c r="B216" s="201"/>
      <c r="C216" s="201"/>
      <c r="D216" s="201"/>
      <c r="E216" s="201"/>
      <c r="F216" s="201"/>
      <c r="G216" s="201"/>
    </row>
    <row r="217" spans="1:7" ht="12.75">
      <c r="A217" s="201"/>
      <c r="B217" s="201"/>
      <c r="C217" s="201"/>
      <c r="D217" s="201"/>
      <c r="E217" s="201"/>
      <c r="F217" s="201"/>
      <c r="G217" s="201"/>
    </row>
  </sheetData>
  <sheetProtection password="C9B5" sheet="1" objects="1" scenarios="1"/>
  <hyperlinks>
    <hyperlink ref="D8" location="cargosingreso" display="cargos de ingreso"/>
    <hyperlink ref="D9" location="horasmedia" display="horas nivel medio"/>
    <hyperlink ref="D10" location="horassuperior" display="horas nivel superior"/>
    <hyperlink ref="D7" location="instructivo" display="instructivo"/>
    <hyperlink ref="B31" location="Cargos!A1" display="Cargos"/>
    <hyperlink ref="B102" r:id="rId1" display="www.agmeruruguay.com.ar"/>
    <hyperlink ref="D11" location="Cargos!A1" display="Cargos"/>
    <hyperlink ref="B214" r:id="rId2" display="www.agmeruruguay.com.ar"/>
    <hyperlink ref="B103" r:id="rId3" display="www.celestecompromiso.com.ar"/>
    <hyperlink ref="B215" r:id="rId4" display="www.celestecompromiso.com.ar"/>
    <hyperlink ref="B101" r:id="rId5" display="victorhutt@victorhutt.com.ar"/>
    <hyperlink ref="B213" r:id="rId6" display="victorhutt@victorhutt.com.ar"/>
  </hyperlinks>
  <printOptions/>
  <pageMargins left="0.75" right="0.75" top="1" bottom="1" header="0" footer="0"/>
  <pageSetup horizontalDpi="1200" verticalDpi="1200" orientation="portrait" paperSize="9" r:id="rId9"/>
  <legacyDrawing r:id="rId8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T290"/>
  <sheetViews>
    <sheetView showGridLines="0" zoomScale="75" zoomScaleNormal="75" workbookViewId="0" topLeftCell="A1">
      <pane ySplit="1" topLeftCell="BM2" activePane="bottomLeft" state="frozen"/>
      <selection pane="topLeft" activeCell="C1" sqref="C1"/>
      <selection pane="bottomLeft" activeCell="C1" sqref="C1"/>
    </sheetView>
  </sheetViews>
  <sheetFormatPr defaultColWidth="11.421875" defaultRowHeight="12.75"/>
  <cols>
    <col min="1" max="1" width="13.8515625" style="0" hidden="1" customWidth="1"/>
    <col min="2" max="2" width="0" style="0" hidden="1" customWidth="1"/>
    <col min="3" max="3" width="16.421875" style="0" customWidth="1"/>
    <col min="4" max="4" width="13.00390625" style="0" customWidth="1"/>
    <col min="5" max="5" width="23.7109375" style="0" customWidth="1"/>
    <col min="6" max="7" width="14.421875" style="0" bestFit="1" customWidth="1"/>
    <col min="8" max="8" width="12.421875" style="0" customWidth="1"/>
    <col min="9" max="9" width="22.7109375" style="0" customWidth="1"/>
    <col min="10" max="10" width="12.28125" style="0" bestFit="1" customWidth="1"/>
    <col min="13" max="13" width="23.28125" style="0" customWidth="1"/>
    <col min="14" max="14" width="20.8515625" style="0" customWidth="1"/>
    <col min="15" max="15" width="19.421875" style="0" customWidth="1"/>
    <col min="16" max="16" width="14.421875" style="0" customWidth="1"/>
  </cols>
  <sheetData>
    <row r="1" spans="3:8" s="289" customFormat="1" ht="18.75" thickBot="1">
      <c r="C1" s="290"/>
      <c r="D1" s="291" t="s">
        <v>431</v>
      </c>
      <c r="E1" s="292" t="s">
        <v>432</v>
      </c>
      <c r="F1" s="293" t="s">
        <v>433</v>
      </c>
      <c r="G1" s="294" t="s">
        <v>434</v>
      </c>
      <c r="H1" s="295" t="s">
        <v>435</v>
      </c>
    </row>
    <row r="2" spans="3:14" ht="18.75" thickTop="1">
      <c r="C2" s="431"/>
      <c r="D2" s="431"/>
      <c r="E2" s="220"/>
      <c r="F2" s="220"/>
      <c r="G2" s="220"/>
      <c r="H2" s="220"/>
      <c r="I2" s="220"/>
      <c r="J2" s="220"/>
      <c r="K2" s="220"/>
      <c r="L2" s="220"/>
      <c r="M2" s="220"/>
      <c r="N2" s="220"/>
    </row>
    <row r="3" spans="3:14" ht="18">
      <c r="C3" s="432" t="s">
        <v>410</v>
      </c>
      <c r="D3" s="431"/>
      <c r="E3" s="220"/>
      <c r="F3" s="220"/>
      <c r="G3" s="220"/>
      <c r="H3" s="220"/>
      <c r="I3" s="220"/>
      <c r="J3" s="220"/>
      <c r="K3" s="220"/>
      <c r="L3" s="220"/>
      <c r="M3" s="220"/>
      <c r="N3" s="220"/>
    </row>
    <row r="4" spans="6:20" ht="15.75" hidden="1">
      <c r="F4" t="s">
        <v>435</v>
      </c>
      <c r="G4" s="11" t="s">
        <v>439</v>
      </c>
      <c r="H4" s="11" t="s">
        <v>440</v>
      </c>
      <c r="I4" s="152" t="s">
        <v>441</v>
      </c>
      <c r="J4" s="152" t="s">
        <v>442</v>
      </c>
      <c r="K4" s="152" t="s">
        <v>443</v>
      </c>
      <c r="L4" s="152" t="s">
        <v>444</v>
      </c>
      <c r="M4" s="152" t="s">
        <v>445</v>
      </c>
      <c r="N4" s="152" t="s">
        <v>446</v>
      </c>
      <c r="O4" s="173" t="s">
        <v>447</v>
      </c>
      <c r="P4" s="173">
        <v>1</v>
      </c>
      <c r="Q4" s="173">
        <v>2</v>
      </c>
      <c r="R4" s="173">
        <v>3</v>
      </c>
      <c r="S4" s="173">
        <v>4</v>
      </c>
      <c r="T4" s="173">
        <v>5</v>
      </c>
    </row>
    <row r="5" spans="5:20" ht="16.5" hidden="1" thickBot="1">
      <c r="E5" s="137">
        <v>0</v>
      </c>
      <c r="F5" s="154">
        <f>IF(puntosproljorvarios1&lt;620,T5,O5)</f>
        <v>80</v>
      </c>
      <c r="G5" s="154">
        <v>80</v>
      </c>
      <c r="H5" s="307">
        <v>80</v>
      </c>
      <c r="I5" s="174">
        <v>0</v>
      </c>
      <c r="J5" s="175">
        <v>0</v>
      </c>
      <c r="K5" s="176">
        <v>0</v>
      </c>
      <c r="L5" s="308">
        <v>0</v>
      </c>
      <c r="M5" s="309">
        <v>80</v>
      </c>
      <c r="N5" s="310">
        <v>80</v>
      </c>
      <c r="O5" s="177">
        <f aca="true" t="shared" si="0" ref="O5:O16">IF(punbasjubvarios1&gt;971,N5,M5)</f>
        <v>80</v>
      </c>
      <c r="P5" s="177">
        <f aca="true" t="shared" si="1" ref="P5:P16">IF(punbasjubvarios1&lt;972,G5,H5)</f>
        <v>80</v>
      </c>
      <c r="Q5" s="177">
        <f aca="true" t="shared" si="2" ref="Q5:Q16">IF(punbasjubvarios1&lt;1170,P5,I5)</f>
        <v>80</v>
      </c>
      <c r="R5" s="177">
        <f aca="true" t="shared" si="3" ref="R5:R16">IF(punbasjubvarios1&lt;1401,Q5,J5)</f>
        <v>80</v>
      </c>
      <c r="S5" s="177">
        <f aca="true" t="shared" si="4" ref="S5:S16">IF(punbasjubvarios1&lt;1943,R5,K5)</f>
        <v>80</v>
      </c>
      <c r="T5" s="177">
        <f aca="true" t="shared" si="5" ref="T5:T16">IF(punbasjubvarios1&lt;=2220,S5,L5)</f>
        <v>80</v>
      </c>
    </row>
    <row r="6" spans="5:20" ht="16.5" hidden="1" thickBot="1">
      <c r="E6" s="138">
        <v>0.1</v>
      </c>
      <c r="F6" s="154">
        <f>IF(puntosproljorvarios1&lt;620,T6,O6)</f>
        <v>90</v>
      </c>
      <c r="G6" s="154">
        <v>90</v>
      </c>
      <c r="H6" s="312">
        <v>90</v>
      </c>
      <c r="I6" s="174">
        <v>0</v>
      </c>
      <c r="J6" s="175">
        <v>0</v>
      </c>
      <c r="K6" s="176">
        <v>0</v>
      </c>
      <c r="L6" s="308">
        <v>0</v>
      </c>
      <c r="M6" s="309">
        <v>90</v>
      </c>
      <c r="N6" s="310">
        <v>90</v>
      </c>
      <c r="O6" s="177">
        <f t="shared" si="0"/>
        <v>90</v>
      </c>
      <c r="P6" s="177">
        <f t="shared" si="1"/>
        <v>90</v>
      </c>
      <c r="Q6" s="177">
        <f t="shared" si="2"/>
        <v>90</v>
      </c>
      <c r="R6" s="177">
        <f t="shared" si="3"/>
        <v>90</v>
      </c>
      <c r="S6" s="177">
        <f t="shared" si="4"/>
        <v>90</v>
      </c>
      <c r="T6" s="177">
        <f t="shared" si="5"/>
        <v>90</v>
      </c>
    </row>
    <row r="7" spans="5:20" ht="16.5" hidden="1" thickBot="1">
      <c r="E7" s="139">
        <v>0.15</v>
      </c>
      <c r="F7" s="154">
        <f>IF(puntosproljorvarios1&lt;620,T7,O7)</f>
        <v>180</v>
      </c>
      <c r="G7" s="154">
        <v>180</v>
      </c>
      <c r="H7" s="312">
        <v>180</v>
      </c>
      <c r="I7" s="178">
        <v>240</v>
      </c>
      <c r="J7" s="179">
        <v>193</v>
      </c>
      <c r="K7" s="180">
        <v>180</v>
      </c>
      <c r="L7" s="308">
        <v>0</v>
      </c>
      <c r="M7" s="309">
        <v>220</v>
      </c>
      <c r="N7" s="310">
        <v>220</v>
      </c>
      <c r="O7" s="177">
        <f t="shared" si="0"/>
        <v>220</v>
      </c>
      <c r="P7" s="177">
        <f t="shared" si="1"/>
        <v>180</v>
      </c>
      <c r="Q7" s="177">
        <f t="shared" si="2"/>
        <v>180</v>
      </c>
      <c r="R7" s="177">
        <f t="shared" si="3"/>
        <v>180</v>
      </c>
      <c r="S7" s="177">
        <f t="shared" si="4"/>
        <v>180</v>
      </c>
      <c r="T7" s="177">
        <f t="shared" si="5"/>
        <v>180</v>
      </c>
    </row>
    <row r="8" spans="5:20" ht="16.5" hidden="1" thickBot="1">
      <c r="E8" s="139">
        <v>0.3</v>
      </c>
      <c r="F8" s="154">
        <f>IF(puntosproljorvarios1&lt;620,T8,O8)</f>
        <v>225</v>
      </c>
      <c r="G8" s="154">
        <v>225</v>
      </c>
      <c r="H8" s="312">
        <v>195</v>
      </c>
      <c r="I8" s="178">
        <v>240</v>
      </c>
      <c r="J8" s="179">
        <v>193</v>
      </c>
      <c r="K8" s="180">
        <v>180</v>
      </c>
      <c r="L8" s="308">
        <v>0</v>
      </c>
      <c r="M8" s="309">
        <v>380</v>
      </c>
      <c r="N8" s="310">
        <v>350</v>
      </c>
      <c r="O8" s="177">
        <f t="shared" si="0"/>
        <v>380</v>
      </c>
      <c r="P8" s="177">
        <f t="shared" si="1"/>
        <v>225</v>
      </c>
      <c r="Q8" s="177">
        <f t="shared" si="2"/>
        <v>225</v>
      </c>
      <c r="R8" s="177">
        <f t="shared" si="3"/>
        <v>225</v>
      </c>
      <c r="S8" s="177">
        <f t="shared" si="4"/>
        <v>225</v>
      </c>
      <c r="T8" s="177">
        <f t="shared" si="5"/>
        <v>225</v>
      </c>
    </row>
    <row r="9" spans="5:20" ht="16.5" hidden="1" thickBot="1">
      <c r="E9" s="139">
        <v>0.4</v>
      </c>
      <c r="F9" s="154">
        <f>IF(puntosproljorvarios1&lt;620,T9,O9)</f>
        <v>250</v>
      </c>
      <c r="G9" s="154">
        <v>250</v>
      </c>
      <c r="H9" s="312">
        <v>210</v>
      </c>
      <c r="I9" s="178">
        <v>250</v>
      </c>
      <c r="J9" s="179">
        <v>200</v>
      </c>
      <c r="K9" s="180">
        <v>180</v>
      </c>
      <c r="L9" s="308">
        <v>140</v>
      </c>
      <c r="M9" s="309">
        <v>440</v>
      </c>
      <c r="N9" s="310">
        <v>400</v>
      </c>
      <c r="O9" s="177">
        <f t="shared" si="0"/>
        <v>440</v>
      </c>
      <c r="P9" s="177">
        <f t="shared" si="1"/>
        <v>250</v>
      </c>
      <c r="Q9" s="177">
        <f t="shared" si="2"/>
        <v>250</v>
      </c>
      <c r="R9" s="177">
        <f t="shared" si="3"/>
        <v>250</v>
      </c>
      <c r="S9" s="177">
        <f t="shared" si="4"/>
        <v>250</v>
      </c>
      <c r="T9" s="177">
        <f t="shared" si="5"/>
        <v>250</v>
      </c>
    </row>
    <row r="10" spans="5:20" ht="16.5" hidden="1" thickBot="1">
      <c r="E10" s="139">
        <v>0.5</v>
      </c>
      <c r="F10" s="154">
        <f>IF(puntosproljorvarios1&lt;620,T10,O10)</f>
        <v>270</v>
      </c>
      <c r="G10" s="154">
        <v>270</v>
      </c>
      <c r="H10" s="312">
        <v>230</v>
      </c>
      <c r="I10" s="178">
        <v>250</v>
      </c>
      <c r="J10" s="157">
        <v>200</v>
      </c>
      <c r="K10" s="180">
        <v>180</v>
      </c>
      <c r="L10" s="308">
        <v>140</v>
      </c>
      <c r="M10" s="309">
        <v>475</v>
      </c>
      <c r="N10" s="310">
        <v>435</v>
      </c>
      <c r="O10" s="177">
        <f t="shared" si="0"/>
        <v>475</v>
      </c>
      <c r="P10" s="177">
        <f t="shared" si="1"/>
        <v>270</v>
      </c>
      <c r="Q10" s="177">
        <f t="shared" si="2"/>
        <v>270</v>
      </c>
      <c r="R10" s="177">
        <f t="shared" si="3"/>
        <v>270</v>
      </c>
      <c r="S10" s="177">
        <f t="shared" si="4"/>
        <v>270</v>
      </c>
      <c r="T10" s="177">
        <f t="shared" si="5"/>
        <v>270</v>
      </c>
    </row>
    <row r="11" spans="5:20" ht="16.5" hidden="1" thickBot="1">
      <c r="E11" s="139">
        <v>0.6</v>
      </c>
      <c r="F11" s="154">
        <f>IF(puntosproljorvarios1&lt;620,T11,O11)</f>
        <v>320</v>
      </c>
      <c r="G11" s="154">
        <v>320</v>
      </c>
      <c r="H11" s="312">
        <v>260</v>
      </c>
      <c r="I11" s="178">
        <v>260</v>
      </c>
      <c r="J11" s="157">
        <v>203</v>
      </c>
      <c r="K11" s="180">
        <v>190</v>
      </c>
      <c r="L11" s="308">
        <v>160</v>
      </c>
      <c r="M11" s="309">
        <v>510</v>
      </c>
      <c r="N11" s="310">
        <v>450</v>
      </c>
      <c r="O11" s="177">
        <f t="shared" si="0"/>
        <v>510</v>
      </c>
      <c r="P11" s="177">
        <f t="shared" si="1"/>
        <v>320</v>
      </c>
      <c r="Q11" s="177">
        <f t="shared" si="2"/>
        <v>320</v>
      </c>
      <c r="R11" s="177">
        <f t="shared" si="3"/>
        <v>320</v>
      </c>
      <c r="S11" s="177">
        <f t="shared" si="4"/>
        <v>320</v>
      </c>
      <c r="T11" s="177">
        <f t="shared" si="5"/>
        <v>320</v>
      </c>
    </row>
    <row r="12" spans="5:20" ht="16.5" hidden="1" thickBot="1">
      <c r="E12" s="139">
        <v>0.7</v>
      </c>
      <c r="F12" s="154">
        <f>IF(puntosproljorvarios1&lt;620,T12,O12)</f>
        <v>345</v>
      </c>
      <c r="G12" s="154">
        <v>345</v>
      </c>
      <c r="H12" s="312">
        <v>285</v>
      </c>
      <c r="I12" s="178">
        <v>365</v>
      </c>
      <c r="J12" s="157">
        <v>230</v>
      </c>
      <c r="K12" s="180">
        <v>190</v>
      </c>
      <c r="L12" s="308">
        <v>160</v>
      </c>
      <c r="M12" s="309">
        <v>525</v>
      </c>
      <c r="N12" s="310">
        <v>465</v>
      </c>
      <c r="O12" s="177">
        <f t="shared" si="0"/>
        <v>525</v>
      </c>
      <c r="P12" s="177">
        <f t="shared" si="1"/>
        <v>345</v>
      </c>
      <c r="Q12" s="177">
        <f t="shared" si="2"/>
        <v>345</v>
      </c>
      <c r="R12" s="177">
        <f t="shared" si="3"/>
        <v>345</v>
      </c>
      <c r="S12" s="177">
        <f t="shared" si="4"/>
        <v>345</v>
      </c>
      <c r="T12" s="177">
        <f t="shared" si="5"/>
        <v>345</v>
      </c>
    </row>
    <row r="13" spans="5:20" ht="16.5" hidden="1" thickBot="1">
      <c r="E13" s="139">
        <v>0.8</v>
      </c>
      <c r="F13" s="154">
        <f>IF(puntosproljorvarios1&lt;620,T13,O13)</f>
        <v>425</v>
      </c>
      <c r="G13" s="154">
        <v>425</v>
      </c>
      <c r="H13" s="312">
        <v>345</v>
      </c>
      <c r="I13" s="156">
        <v>395</v>
      </c>
      <c r="J13" s="157">
        <v>340</v>
      </c>
      <c r="K13" s="181">
        <v>280</v>
      </c>
      <c r="L13" s="314">
        <v>180</v>
      </c>
      <c r="M13" s="309">
        <v>555</v>
      </c>
      <c r="N13" s="310">
        <v>475</v>
      </c>
      <c r="O13" s="177">
        <f t="shared" si="0"/>
        <v>555</v>
      </c>
      <c r="P13" s="177">
        <f t="shared" si="1"/>
        <v>425</v>
      </c>
      <c r="Q13" s="177">
        <f t="shared" si="2"/>
        <v>425</v>
      </c>
      <c r="R13" s="177">
        <f t="shared" si="3"/>
        <v>425</v>
      </c>
      <c r="S13" s="177">
        <f t="shared" si="4"/>
        <v>425</v>
      </c>
      <c r="T13" s="177">
        <f t="shared" si="5"/>
        <v>425</v>
      </c>
    </row>
    <row r="14" spans="5:20" ht="16.5" hidden="1" thickBot="1">
      <c r="E14" s="139">
        <v>1</v>
      </c>
      <c r="F14" s="154">
        <f>IF(puntosproljorvarios1&lt;620,T14,O14)</f>
        <v>535</v>
      </c>
      <c r="G14" s="154">
        <v>535</v>
      </c>
      <c r="H14" s="312">
        <v>435</v>
      </c>
      <c r="I14" s="156">
        <v>410</v>
      </c>
      <c r="J14" s="157">
        <v>330</v>
      </c>
      <c r="K14" s="181">
        <v>310</v>
      </c>
      <c r="L14" s="314">
        <v>180</v>
      </c>
      <c r="M14" s="309">
        <v>590</v>
      </c>
      <c r="N14" s="310">
        <v>490</v>
      </c>
      <c r="O14" s="177">
        <f t="shared" si="0"/>
        <v>590</v>
      </c>
      <c r="P14" s="177">
        <f t="shared" si="1"/>
        <v>535</v>
      </c>
      <c r="Q14" s="177">
        <f t="shared" si="2"/>
        <v>535</v>
      </c>
      <c r="R14" s="177">
        <f t="shared" si="3"/>
        <v>535</v>
      </c>
      <c r="S14" s="177">
        <f t="shared" si="4"/>
        <v>535</v>
      </c>
      <c r="T14" s="177">
        <f t="shared" si="5"/>
        <v>535</v>
      </c>
    </row>
    <row r="15" spans="1:20" ht="16.5" hidden="1" thickBot="1">
      <c r="A15">
        <v>1</v>
      </c>
      <c r="E15" s="139">
        <v>1.1</v>
      </c>
      <c r="F15" s="154">
        <f>IF(puntosproljorvarios1&lt;620,T15,O15)</f>
        <v>605</v>
      </c>
      <c r="G15" s="154">
        <v>605</v>
      </c>
      <c r="H15" s="312">
        <v>495</v>
      </c>
      <c r="I15" s="156">
        <v>430</v>
      </c>
      <c r="J15" s="157">
        <v>330</v>
      </c>
      <c r="K15" s="181">
        <v>320</v>
      </c>
      <c r="L15" s="314">
        <v>190</v>
      </c>
      <c r="M15" s="309">
        <v>615</v>
      </c>
      <c r="N15" s="310">
        <v>505</v>
      </c>
      <c r="O15" s="177">
        <f t="shared" si="0"/>
        <v>615</v>
      </c>
      <c r="P15" s="177">
        <f t="shared" si="1"/>
        <v>605</v>
      </c>
      <c r="Q15" s="177">
        <f t="shared" si="2"/>
        <v>605</v>
      </c>
      <c r="R15" s="177">
        <f t="shared" si="3"/>
        <v>605</v>
      </c>
      <c r="S15" s="177">
        <f t="shared" si="4"/>
        <v>605</v>
      </c>
      <c r="T15" s="177">
        <f t="shared" si="5"/>
        <v>605</v>
      </c>
    </row>
    <row r="16" spans="1:20" ht="16.5" hidden="1" thickBot="1">
      <c r="A16">
        <v>1</v>
      </c>
      <c r="E16" s="140">
        <v>1.2</v>
      </c>
      <c r="F16" s="154">
        <f>IF(puntosproljorvarios1&lt;620,T16,O16)</f>
        <v>620</v>
      </c>
      <c r="G16" s="154">
        <v>620</v>
      </c>
      <c r="H16" s="312">
        <v>510</v>
      </c>
      <c r="I16" s="156">
        <v>480</v>
      </c>
      <c r="J16" s="157">
        <v>335</v>
      </c>
      <c r="K16" s="181">
        <v>330</v>
      </c>
      <c r="L16" s="314">
        <v>190</v>
      </c>
      <c r="M16" s="309">
        <v>620</v>
      </c>
      <c r="N16" s="310">
        <v>510</v>
      </c>
      <c r="O16" s="177">
        <f t="shared" si="0"/>
        <v>620</v>
      </c>
      <c r="P16" s="177">
        <f t="shared" si="1"/>
        <v>620</v>
      </c>
      <c r="Q16" s="177">
        <f t="shared" si="2"/>
        <v>620</v>
      </c>
      <c r="R16" s="177">
        <f t="shared" si="3"/>
        <v>620</v>
      </c>
      <c r="S16" s="177">
        <f t="shared" si="4"/>
        <v>620</v>
      </c>
      <c r="T16" s="177">
        <f t="shared" si="5"/>
        <v>620</v>
      </c>
    </row>
    <row r="17" spans="5:20" s="358" customFormat="1" ht="15.75" hidden="1">
      <c r="E17" s="359"/>
      <c r="F17" s="223"/>
      <c r="G17" s="223"/>
      <c r="H17" s="360"/>
      <c r="I17" s="361"/>
      <c r="J17" s="361"/>
      <c r="K17" s="223"/>
      <c r="L17" s="12"/>
      <c r="M17" s="155"/>
      <c r="N17" s="155"/>
      <c r="O17" s="155"/>
      <c r="P17" s="155"/>
      <c r="Q17" s="155"/>
      <c r="R17" s="155"/>
      <c r="S17" s="155"/>
      <c r="T17" s="155"/>
    </row>
    <row r="18" spans="5:20" s="358" customFormat="1" ht="15.75" hidden="1">
      <c r="E18" s="359"/>
      <c r="F18" s="223" t="s">
        <v>436</v>
      </c>
      <c r="G18" s="223">
        <f>LOOKUP(F32,porantvar1,cod06cargosvar1)</f>
        <v>620</v>
      </c>
      <c r="H18" s="360"/>
      <c r="I18" s="361"/>
      <c r="J18" s="361"/>
      <c r="K18" s="223"/>
      <c r="L18" s="12"/>
      <c r="M18" s="155"/>
      <c r="N18" s="155"/>
      <c r="O18" s="155"/>
      <c r="P18" s="155"/>
      <c r="Q18" s="155"/>
      <c r="R18" s="155"/>
      <c r="S18" s="155"/>
      <c r="T18" s="155"/>
    </row>
    <row r="19" spans="5:20" s="358" customFormat="1" ht="15.75" hidden="1">
      <c r="E19" s="359"/>
      <c r="F19" s="223"/>
      <c r="G19" s="223"/>
      <c r="H19" s="360"/>
      <c r="I19" s="361"/>
      <c r="J19" s="361"/>
      <c r="K19" s="223"/>
      <c r="L19" s="12"/>
      <c r="M19" s="155"/>
      <c r="N19" s="155"/>
      <c r="O19" s="155"/>
      <c r="P19" s="155"/>
      <c r="Q19" s="155"/>
      <c r="R19" s="155"/>
      <c r="S19" s="155"/>
      <c r="T19" s="155"/>
    </row>
    <row r="20" spans="1:15" ht="12.75">
      <c r="A20" s="221">
        <v>1</v>
      </c>
      <c r="B20" s="221"/>
      <c r="C20" s="221"/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</row>
    <row r="21" spans="1:17" ht="20.25">
      <c r="A21" s="221">
        <v>1</v>
      </c>
      <c r="B21" s="51"/>
      <c r="C21" s="118"/>
      <c r="D21" s="118"/>
      <c r="E21" s="90" t="s">
        <v>427</v>
      </c>
      <c r="F21" s="11"/>
      <c r="G21" s="11"/>
      <c r="H21" s="118"/>
      <c r="I21" s="118"/>
      <c r="J21" s="118"/>
      <c r="K21" s="118"/>
      <c r="L21" s="118"/>
      <c r="M21" s="118"/>
      <c r="N21" s="222"/>
      <c r="O21" s="399"/>
      <c r="P21" s="223"/>
      <c r="Q21" s="223"/>
    </row>
    <row r="22" spans="1:17" ht="12.75">
      <c r="A22" s="221">
        <v>1</v>
      </c>
      <c r="B22" s="51"/>
      <c r="C22" s="51"/>
      <c r="D22" s="51"/>
      <c r="E22" s="51"/>
      <c r="F22" s="51"/>
      <c r="G22" s="51"/>
      <c r="H22" s="389"/>
      <c r="I22" s="51"/>
      <c r="J22" s="51"/>
      <c r="K22" s="51"/>
      <c r="L22" s="51"/>
      <c r="M22" s="51"/>
      <c r="N22" s="222"/>
      <c r="O22" s="399"/>
      <c r="P22" s="223"/>
      <c r="Q22" s="223"/>
    </row>
    <row r="23" spans="1:17" ht="12.75">
      <c r="A23" s="221">
        <v>1</v>
      </c>
      <c r="B23" s="221"/>
      <c r="C23" s="221"/>
      <c r="D23" s="45" t="s">
        <v>52</v>
      </c>
      <c r="E23" s="45" t="s">
        <v>356</v>
      </c>
      <c r="F23" s="45" t="s">
        <v>357</v>
      </c>
      <c r="G23" s="45" t="s">
        <v>358</v>
      </c>
      <c r="H23" s="45" t="s">
        <v>359</v>
      </c>
      <c r="I23" s="112" t="s">
        <v>452</v>
      </c>
      <c r="J23" s="51"/>
      <c r="K23" s="51"/>
      <c r="L23" s="51"/>
      <c r="M23" s="51"/>
      <c r="N23" s="222"/>
      <c r="O23" s="399"/>
      <c r="P23" s="223"/>
      <c r="Q23" s="223"/>
    </row>
    <row r="24" spans="1:17" ht="16.5" thickBot="1">
      <c r="A24" s="221">
        <v>1</v>
      </c>
      <c r="B24" s="221"/>
      <c r="C24" s="221"/>
      <c r="D24" s="130">
        <v>749</v>
      </c>
      <c r="E24" s="91">
        <f>LOOKUP(D24,[0]!numerocargo,[0]!puntosbasicoscargo)</f>
        <v>971</v>
      </c>
      <c r="F24" s="91">
        <f>LOOKUP(D24,[0]!numerocargo,[0]!tardifcargo)</f>
        <v>0</v>
      </c>
      <c r="G24" s="91">
        <f>LOOKUP(D24,[0]!numerocargo,[0]!proljorcargo)</f>
        <v>0</v>
      </c>
      <c r="H24" s="91">
        <f>LOOKUP(D24,[0]!numerocargo,[0]!jorcomcargo)</f>
        <v>0</v>
      </c>
      <c r="I24" s="45">
        <f>LOOKUP(D24,Cargos!A3:A314,puntoscompbasico)</f>
        <v>170</v>
      </c>
      <c r="J24" s="51"/>
      <c r="K24" s="51"/>
      <c r="L24" s="51"/>
      <c r="M24" s="51"/>
      <c r="N24" s="222"/>
      <c r="O24" s="399"/>
      <c r="P24" s="223"/>
      <c r="Q24" s="223"/>
    </row>
    <row r="25" spans="1:17" ht="13.5" thickBot="1">
      <c r="A25" s="221">
        <v>1</v>
      </c>
      <c r="B25" s="221"/>
      <c r="C25" s="221"/>
      <c r="D25" s="92" t="s">
        <v>53</v>
      </c>
      <c r="E25" s="93" t="str">
        <f>LOOKUP(D24,[0]!numerocargo,[0]!nombrecargo)</f>
        <v> MAESTRO DE GRADO</v>
      </c>
      <c r="F25" s="43"/>
      <c r="G25" s="43"/>
      <c r="H25" s="66"/>
      <c r="I25" s="12"/>
      <c r="J25" s="51"/>
      <c r="K25" s="51"/>
      <c r="L25" s="51"/>
      <c r="M25" s="51"/>
      <c r="N25" s="222"/>
      <c r="O25" s="399"/>
      <c r="P25" s="223"/>
      <c r="Q25" s="223"/>
    </row>
    <row r="26" spans="1:17" ht="13.5" hidden="1" thickBot="1">
      <c r="A26" s="221">
        <v>1</v>
      </c>
      <c r="B26" s="221"/>
      <c r="C26" s="221"/>
      <c r="D26" s="224"/>
      <c r="E26" s="10"/>
      <c r="F26" s="2"/>
      <c r="G26" s="2"/>
      <c r="H26" s="2"/>
      <c r="I26" s="146" t="s">
        <v>384</v>
      </c>
      <c r="J26" s="283"/>
      <c r="K26" s="283"/>
      <c r="L26" s="283"/>
      <c r="M26" s="51"/>
      <c r="N26" s="51"/>
      <c r="O26" s="51"/>
      <c r="P26" s="11"/>
      <c r="Q26" s="11"/>
    </row>
    <row r="27" spans="1:17" ht="19.5" thickBot="1" thickTop="1">
      <c r="A27" s="221">
        <v>1</v>
      </c>
      <c r="B27" s="221"/>
      <c r="C27" s="221"/>
      <c r="D27" s="225" t="s">
        <v>373</v>
      </c>
      <c r="E27" s="136"/>
      <c r="F27" s="136"/>
      <c r="G27" s="136"/>
      <c r="H27" s="226">
        <v>120</v>
      </c>
      <c r="I27" s="147">
        <f>H27/120</f>
        <v>1</v>
      </c>
      <c r="J27" s="284"/>
      <c r="K27" s="284"/>
      <c r="L27" s="284"/>
      <c r="M27" s="51"/>
      <c r="N27" s="51"/>
      <c r="O27" s="51"/>
      <c r="P27" s="11"/>
      <c r="Q27" s="11"/>
    </row>
    <row r="28" spans="1:17" ht="17.25" hidden="1" thickBot="1" thickTop="1">
      <c r="A28" s="221">
        <v>1</v>
      </c>
      <c r="B28" s="388"/>
      <c r="C28" s="389"/>
      <c r="D28" s="2"/>
      <c r="E28" s="2"/>
      <c r="F28" s="227"/>
      <c r="G28" s="12"/>
      <c r="H28" s="10"/>
      <c r="I28" s="12"/>
      <c r="J28" s="12"/>
      <c r="K28" s="12"/>
      <c r="L28" s="12"/>
      <c r="M28" s="2"/>
      <c r="N28" s="51"/>
      <c r="O28" s="51"/>
      <c r="P28" s="11"/>
      <c r="Q28" s="11"/>
    </row>
    <row r="29" spans="1:17" ht="17.25" thickBot="1" thickTop="1">
      <c r="A29" s="221">
        <v>1</v>
      </c>
      <c r="B29" s="388"/>
      <c r="C29" s="221"/>
      <c r="D29" s="134" t="s">
        <v>386</v>
      </c>
      <c r="E29" s="150">
        <v>0</v>
      </c>
      <c r="F29" s="227"/>
      <c r="G29" s="51"/>
      <c r="H29" s="389"/>
      <c r="I29" s="51"/>
      <c r="J29" s="51"/>
      <c r="K29" s="51"/>
      <c r="L29" s="51"/>
      <c r="M29" s="51"/>
      <c r="N29" s="51"/>
      <c r="O29" s="51"/>
      <c r="P29" s="11"/>
      <c r="Q29" s="11"/>
    </row>
    <row r="30" spans="1:17" ht="14.25" hidden="1" thickBot="1" thickTop="1">
      <c r="A30" s="221">
        <v>1</v>
      </c>
      <c r="B30" s="388"/>
      <c r="C30" s="389"/>
      <c r="D30" s="2"/>
      <c r="E30" s="2"/>
      <c r="F30" s="2"/>
      <c r="G30" s="51"/>
      <c r="H30" s="389"/>
      <c r="I30" s="51"/>
      <c r="J30" s="51"/>
      <c r="K30" s="51"/>
      <c r="L30" s="51"/>
      <c r="M30" s="51"/>
      <c r="N30" s="51"/>
      <c r="O30" s="51"/>
      <c r="P30" s="11"/>
      <c r="Q30" s="11"/>
    </row>
    <row r="31" spans="1:17" ht="17.25" thickBot="1" thickTop="1">
      <c r="A31" s="221">
        <v>1</v>
      </c>
      <c r="B31" s="51"/>
      <c r="C31" s="118"/>
      <c r="D31" s="94" t="s">
        <v>14</v>
      </c>
      <c r="E31" s="43"/>
      <c r="F31" s="95">
        <f>E24*indicesep07</f>
        <v>480.645</v>
      </c>
      <c r="G31" s="118"/>
      <c r="H31" s="118"/>
      <c r="I31" s="118"/>
      <c r="J31" s="118"/>
      <c r="K31" s="118"/>
      <c r="L31" s="118"/>
      <c r="M31" s="228"/>
      <c r="N31" s="228"/>
      <c r="O31" s="118"/>
      <c r="P31" s="11"/>
      <c r="Q31" s="11"/>
    </row>
    <row r="32" spans="1:17" ht="16.5" thickBot="1">
      <c r="A32" s="221">
        <v>1</v>
      </c>
      <c r="B32" s="51"/>
      <c r="C32" s="118"/>
      <c r="D32" s="94" t="s">
        <v>15</v>
      </c>
      <c r="E32" s="43"/>
      <c r="F32" s="133">
        <v>1.2</v>
      </c>
      <c r="G32" s="11" t="s">
        <v>16</v>
      </c>
      <c r="H32" s="11"/>
      <c r="I32" s="118"/>
      <c r="J32" s="118"/>
      <c r="K32" s="118"/>
      <c r="L32" s="118"/>
      <c r="M32" s="118"/>
      <c r="N32" s="228"/>
      <c r="O32" s="118"/>
      <c r="P32" s="11"/>
      <c r="Q32" s="11"/>
    </row>
    <row r="33" spans="1:17" ht="15.75">
      <c r="A33" s="221">
        <v>1</v>
      </c>
      <c r="B33" s="51"/>
      <c r="C33" s="118"/>
      <c r="D33" s="51"/>
      <c r="E33" s="51"/>
      <c r="F33" s="229"/>
      <c r="G33" s="118"/>
      <c r="H33" s="118"/>
      <c r="I33" s="118"/>
      <c r="J33" s="118"/>
      <c r="K33" s="118"/>
      <c r="L33" s="118"/>
      <c r="M33" s="118"/>
      <c r="N33" s="230"/>
      <c r="O33" s="118"/>
      <c r="P33" s="11"/>
      <c r="Q33" s="11"/>
    </row>
    <row r="34" spans="1:17" ht="18.75" thickBot="1">
      <c r="A34" s="221">
        <v>1</v>
      </c>
      <c r="B34" s="51"/>
      <c r="C34" s="118"/>
      <c r="D34" s="98" t="s">
        <v>17</v>
      </c>
      <c r="E34" s="98"/>
      <c r="F34" s="99">
        <f>E24</f>
        <v>971</v>
      </c>
      <c r="G34" s="11" t="s">
        <v>18</v>
      </c>
      <c r="H34" s="11"/>
      <c r="I34" s="96">
        <f>H24+G24</f>
        <v>0</v>
      </c>
      <c r="J34" s="96"/>
      <c r="K34" s="96"/>
      <c r="L34" s="96"/>
      <c r="M34" s="2"/>
      <c r="N34" s="11"/>
      <c r="O34" s="118"/>
      <c r="P34" s="11"/>
      <c r="Q34" s="11"/>
    </row>
    <row r="35" spans="1:17" ht="18" hidden="1">
      <c r="A35" s="221"/>
      <c r="B35" s="51"/>
      <c r="C35" s="118"/>
      <c r="D35" s="296"/>
      <c r="E35" s="296"/>
      <c r="F35" s="297"/>
      <c r="G35" s="11"/>
      <c r="H35" s="11"/>
      <c r="I35" s="96"/>
      <c r="J35" s="96"/>
      <c r="K35" s="96"/>
      <c r="L35" s="96"/>
      <c r="M35" s="2"/>
      <c r="N35" s="11"/>
      <c r="O35" s="118"/>
      <c r="P35" s="11"/>
      <c r="Q35" s="11"/>
    </row>
    <row r="36" spans="1:15" ht="15.75">
      <c r="A36" s="221"/>
      <c r="B36" s="51"/>
      <c r="C36" s="118"/>
      <c r="D36" s="11"/>
      <c r="E36" s="187" t="s">
        <v>455</v>
      </c>
      <c r="F36" s="11"/>
      <c r="G36" s="118"/>
      <c r="H36" s="11"/>
      <c r="I36" s="187" t="s">
        <v>463</v>
      </c>
      <c r="J36" s="11"/>
      <c r="K36" s="221"/>
      <c r="L36" s="11"/>
      <c r="M36" s="187" t="s">
        <v>478</v>
      </c>
      <c r="N36" s="11"/>
      <c r="O36" s="221"/>
    </row>
    <row r="37" spans="1:15" ht="12.75">
      <c r="A37" s="221">
        <v>1</v>
      </c>
      <c r="B37" s="51"/>
      <c r="C37" s="221"/>
      <c r="D37" s="18">
        <v>400</v>
      </c>
      <c r="E37" s="18" t="s">
        <v>19</v>
      </c>
      <c r="F37" s="101">
        <f>punbasjubvarios1*indicesep07*0.82*frac1</f>
        <v>394.1289</v>
      </c>
      <c r="G37" s="221"/>
      <c r="H37" s="18">
        <v>400</v>
      </c>
      <c r="I37" s="18" t="s">
        <v>19</v>
      </c>
      <c r="J37" s="101">
        <f>punbasjubvarios1*indicemar08*0.82*frac1</f>
        <v>469.7698</v>
      </c>
      <c r="K37" s="221"/>
      <c r="L37" s="18">
        <v>400</v>
      </c>
      <c r="M37" s="18" t="s">
        <v>19</v>
      </c>
      <c r="N37" s="101">
        <f>punbasjubvarios1*indicejul08*0.82*frac1</f>
        <v>501.61859999999996</v>
      </c>
      <c r="O37" s="221"/>
    </row>
    <row r="38" spans="1:15" ht="12.75">
      <c r="A38" s="221"/>
      <c r="B38" s="51"/>
      <c r="C38" s="221"/>
      <c r="D38" s="18" t="s">
        <v>468</v>
      </c>
      <c r="E38" s="18" t="s">
        <v>454</v>
      </c>
      <c r="F38" s="338">
        <v>0</v>
      </c>
      <c r="G38" s="221"/>
      <c r="H38" s="18" t="s">
        <v>468</v>
      </c>
      <c r="I38" s="18" t="s">
        <v>454</v>
      </c>
      <c r="J38" s="338">
        <f>compbasicovarios1*indicemar08*0.82*frac1</f>
        <v>82.246</v>
      </c>
      <c r="K38" s="221"/>
      <c r="L38" s="18" t="s">
        <v>468</v>
      </c>
      <c r="M38" s="18" t="s">
        <v>454</v>
      </c>
      <c r="N38" s="338">
        <f>compbasicovarios1*indicejul08*0.82*frac1</f>
        <v>87.82199999999999</v>
      </c>
      <c r="O38" s="221"/>
    </row>
    <row r="39" spans="1:15" ht="12.75" hidden="1">
      <c r="A39" s="221">
        <v>1</v>
      </c>
      <c r="B39" s="51"/>
      <c r="C39" s="221"/>
      <c r="D39" s="18">
        <v>404</v>
      </c>
      <c r="E39" s="18" t="s">
        <v>361</v>
      </c>
      <c r="F39" s="101">
        <f>J24*indicesep07*0.82*frac1</f>
        <v>0</v>
      </c>
      <c r="H39" s="18">
        <v>404</v>
      </c>
      <c r="I39" s="18" t="s">
        <v>361</v>
      </c>
      <c r="J39" s="101">
        <f>F24*indicemar08*0.82*frac1</f>
        <v>0</v>
      </c>
      <c r="L39" s="18">
        <v>404</v>
      </c>
      <c r="M39" s="18" t="s">
        <v>361</v>
      </c>
      <c r="N39" s="101">
        <f>F24*indicejul08*0.82*frac1</f>
        <v>0</v>
      </c>
      <c r="O39" s="221"/>
    </row>
    <row r="40" spans="1:15" ht="12.75" hidden="1">
      <c r="A40" s="221">
        <v>1</v>
      </c>
      <c r="B40" s="51"/>
      <c r="C40" s="221"/>
      <c r="D40" s="18">
        <v>406</v>
      </c>
      <c r="E40" s="18" t="s">
        <v>20</v>
      </c>
      <c r="F40" s="101">
        <f>(F37+F38+F39+F42)*F32</f>
        <v>472.95467999999994</v>
      </c>
      <c r="H40" s="18">
        <v>406</v>
      </c>
      <c r="I40" s="18" t="s">
        <v>20</v>
      </c>
      <c r="J40" s="101">
        <f>(J37+J38+J39+J42)*F32</f>
        <v>662.41896</v>
      </c>
      <c r="L40" s="18">
        <v>406</v>
      </c>
      <c r="M40" s="18" t="s">
        <v>20</v>
      </c>
      <c r="N40" s="101">
        <f>(N37+N38+N39+N42)*F32</f>
        <v>707.3287199999999</v>
      </c>
      <c r="O40" s="221"/>
    </row>
    <row r="41" spans="1:15" ht="12.75" hidden="1">
      <c r="A41" s="221">
        <v>1</v>
      </c>
      <c r="B41" s="51"/>
      <c r="C41" s="221"/>
      <c r="D41" s="18">
        <v>408</v>
      </c>
      <c r="E41" s="18" t="s">
        <v>385</v>
      </c>
      <c r="F41" s="101">
        <f>(F37+F42+F38+F39)*E29</f>
        <v>0</v>
      </c>
      <c r="H41" s="18">
        <v>408</v>
      </c>
      <c r="I41" s="18" t="s">
        <v>385</v>
      </c>
      <c r="J41" s="101">
        <f>(J37+J38+J39+J42)*E29</f>
        <v>0</v>
      </c>
      <c r="L41" s="18">
        <v>408</v>
      </c>
      <c r="M41" s="18" t="s">
        <v>385</v>
      </c>
      <c r="N41" s="101">
        <f>(N37+N38+N39+N42)*E29</f>
        <v>0</v>
      </c>
      <c r="O41" s="221"/>
    </row>
    <row r="42" spans="1:15" ht="12.75" hidden="1">
      <c r="A42" s="221">
        <v>1</v>
      </c>
      <c r="B42" s="51"/>
      <c r="C42" s="221"/>
      <c r="D42" s="18">
        <v>416</v>
      </c>
      <c r="E42" s="102" t="s">
        <v>362</v>
      </c>
      <c r="F42" s="101">
        <f>puntosproljorvarios1*proljorsep07*0.82*frac1</f>
        <v>0</v>
      </c>
      <c r="H42" s="18">
        <v>416</v>
      </c>
      <c r="I42" s="102" t="s">
        <v>362</v>
      </c>
      <c r="J42" s="101">
        <f>puntosproljorvarios1*proljormar08*0.82*frac1</f>
        <v>0</v>
      </c>
      <c r="L42" s="18">
        <v>416</v>
      </c>
      <c r="M42" s="102" t="s">
        <v>362</v>
      </c>
      <c r="N42" s="101">
        <f>puntosproljorvarios1*proljorjul08*0.82*frac1</f>
        <v>0</v>
      </c>
      <c r="O42" s="221"/>
    </row>
    <row r="43" spans="1:15" ht="12.75" hidden="1">
      <c r="A43" s="221">
        <v>1</v>
      </c>
      <c r="B43" s="51"/>
      <c r="C43" s="221"/>
      <c r="D43" s="18">
        <v>432</v>
      </c>
      <c r="E43" s="18" t="s">
        <v>383</v>
      </c>
      <c r="F43" s="101">
        <f>cod06sep07varios1*0.82*frac1</f>
        <v>508.4</v>
      </c>
      <c r="H43" s="18">
        <v>432</v>
      </c>
      <c r="I43" s="18" t="s">
        <v>383</v>
      </c>
      <c r="J43" s="101">
        <f>cod06sep07varios1*0.82*frac1</f>
        <v>508.4</v>
      </c>
      <c r="L43" s="18">
        <v>432</v>
      </c>
      <c r="M43" s="18" t="s">
        <v>383</v>
      </c>
      <c r="N43" s="101">
        <f>cod06sep07varios1*0.82*frac1</f>
        <v>508.4</v>
      </c>
      <c r="O43" s="221"/>
    </row>
    <row r="44" spans="1:15" ht="12.75" hidden="1">
      <c r="A44" s="221">
        <v>1</v>
      </c>
      <c r="B44" s="51"/>
      <c r="C44" s="221"/>
      <c r="D44" s="18">
        <v>434</v>
      </c>
      <c r="E44" s="18" t="s">
        <v>360</v>
      </c>
      <c r="F44" s="101">
        <f>(F37+F38+F39+F40+F42+F43+F41)*0.07*0.95</f>
        <v>91.46965807000001</v>
      </c>
      <c r="H44" s="18">
        <v>434</v>
      </c>
      <c r="I44" s="18" t="s">
        <v>360</v>
      </c>
      <c r="J44" s="101">
        <f>(J37+J38+J39+J40+J42+J43+J41)*0.07*0.95</f>
        <v>114.56851154000002</v>
      </c>
      <c r="L44" s="18">
        <v>434</v>
      </c>
      <c r="M44" s="18" t="s">
        <v>360</v>
      </c>
      <c r="N44" s="101">
        <f>(N37+N38+N39+N40+N42+N43+N41)*0.07*0.95</f>
        <v>120.04375978</v>
      </c>
      <c r="O44" s="221"/>
    </row>
    <row r="45" spans="1:15" ht="12.75" hidden="1">
      <c r="A45" s="221"/>
      <c r="B45" s="51"/>
      <c r="C45" s="221"/>
      <c r="D45" s="18"/>
      <c r="E45" s="103"/>
      <c r="F45" s="232"/>
      <c r="H45" s="18"/>
      <c r="I45" s="103"/>
      <c r="J45" s="232"/>
      <c r="L45" s="18"/>
      <c r="M45" s="103"/>
      <c r="N45" s="232"/>
      <c r="O45" s="221"/>
    </row>
    <row r="46" spans="1:15" ht="13.5" hidden="1" thickBot="1">
      <c r="A46" s="221">
        <v>1</v>
      </c>
      <c r="B46" s="51"/>
      <c r="C46" s="221"/>
      <c r="D46" s="18"/>
      <c r="E46" s="103" t="s">
        <v>381</v>
      </c>
      <c r="F46" s="131">
        <v>0</v>
      </c>
      <c r="H46" s="18"/>
      <c r="I46" s="103" t="s">
        <v>381</v>
      </c>
      <c r="J46" s="131">
        <v>0</v>
      </c>
      <c r="L46" s="18"/>
      <c r="M46" s="103" t="s">
        <v>381</v>
      </c>
      <c r="N46" s="131">
        <v>0</v>
      </c>
      <c r="O46" s="221"/>
    </row>
    <row r="47" spans="1:15" ht="16.5" hidden="1" thickBot="1">
      <c r="A47" s="221">
        <v>1</v>
      </c>
      <c r="B47" s="51"/>
      <c r="C47" s="221"/>
      <c r="D47" s="104"/>
      <c r="E47" s="105" t="s">
        <v>21</v>
      </c>
      <c r="F47" s="106">
        <f>SUM(F37:F46)</f>
        <v>1466.95323807</v>
      </c>
      <c r="H47" s="104"/>
      <c r="I47" s="105" t="s">
        <v>21</v>
      </c>
      <c r="J47" s="106">
        <f>SUM(J37:J46)</f>
        <v>1837.40327154</v>
      </c>
      <c r="L47" s="104"/>
      <c r="M47" s="105" t="s">
        <v>21</v>
      </c>
      <c r="N47" s="106">
        <f>SUM(N37:N46)</f>
        <v>1925.21307978</v>
      </c>
      <c r="O47" s="221"/>
    </row>
    <row r="48" spans="1:15" ht="12.75" hidden="1">
      <c r="A48" s="221">
        <v>1</v>
      </c>
      <c r="B48" s="51"/>
      <c r="C48" s="221"/>
      <c r="D48" s="18">
        <v>703</v>
      </c>
      <c r="E48" s="107" t="s">
        <v>363</v>
      </c>
      <c r="F48" s="108">
        <f>(F47-F46)*0.0025</f>
        <v>3.667383095175</v>
      </c>
      <c r="H48" s="18">
        <v>703</v>
      </c>
      <c r="I48" s="107" t="s">
        <v>363</v>
      </c>
      <c r="J48" s="108">
        <f>(J47-J46)*0.0025</f>
        <v>4.5935081788500005</v>
      </c>
      <c r="L48" s="18">
        <v>703</v>
      </c>
      <c r="M48" s="107" t="s">
        <v>363</v>
      </c>
      <c r="N48" s="108">
        <f>(N47-N46)*0.0025</f>
        <v>4.81303269945</v>
      </c>
      <c r="O48" s="221"/>
    </row>
    <row r="49" spans="1:15" ht="12.75" hidden="1">
      <c r="A49" s="221">
        <v>1</v>
      </c>
      <c r="B49" s="51"/>
      <c r="C49" s="221"/>
      <c r="D49" s="19">
        <v>707</v>
      </c>
      <c r="E49" s="109" t="s">
        <v>23</v>
      </c>
      <c r="F49" s="17">
        <f>(F47-F46)*0.03</f>
        <v>44.0085971421</v>
      </c>
      <c r="H49" s="19">
        <v>707</v>
      </c>
      <c r="I49" s="109" t="s">
        <v>23</v>
      </c>
      <c r="J49" s="17">
        <f>(J47-J46)*0.03</f>
        <v>55.1220981462</v>
      </c>
      <c r="L49" s="19">
        <v>707</v>
      </c>
      <c r="M49" s="109" t="s">
        <v>23</v>
      </c>
      <c r="N49" s="17">
        <f>(N47-N46)*0.03</f>
        <v>57.7563923934</v>
      </c>
      <c r="O49" s="221"/>
    </row>
    <row r="50" spans="1:15" ht="12.75" hidden="1">
      <c r="A50" s="221">
        <v>1</v>
      </c>
      <c r="B50" s="51"/>
      <c r="C50" s="221"/>
      <c r="D50" s="19">
        <v>709</v>
      </c>
      <c r="E50" s="109" t="s">
        <v>24</v>
      </c>
      <c r="F50" s="17">
        <f>(F47-F46)*0.0213</f>
        <v>31.246103970891</v>
      </c>
      <c r="H50" s="19">
        <v>709</v>
      </c>
      <c r="I50" s="109" t="s">
        <v>24</v>
      </c>
      <c r="J50" s="17">
        <f>(J47-J46)*0.0213</f>
        <v>39.136689683802004</v>
      </c>
      <c r="L50" s="19">
        <v>709</v>
      </c>
      <c r="M50" s="109" t="s">
        <v>24</v>
      </c>
      <c r="N50" s="17">
        <f>(N47-N46)*0.0213</f>
        <v>41.007038599314</v>
      </c>
      <c r="O50" s="221"/>
    </row>
    <row r="51" spans="1:15" ht="12.75" hidden="1">
      <c r="A51" s="221">
        <v>1</v>
      </c>
      <c r="B51" s="51"/>
      <c r="C51" s="221"/>
      <c r="D51" s="16">
        <v>710</v>
      </c>
      <c r="E51" s="109" t="s">
        <v>25</v>
      </c>
      <c r="F51" s="17">
        <f>(F47-F46)*0.00754</f>
        <v>11.0608274150478</v>
      </c>
      <c r="H51" s="16">
        <v>710</v>
      </c>
      <c r="I51" s="109" t="s">
        <v>25</v>
      </c>
      <c r="J51" s="17">
        <f>(J47-J46)*0.00754</f>
        <v>13.8540206674116</v>
      </c>
      <c r="L51" s="16">
        <v>710</v>
      </c>
      <c r="M51" s="109" t="s">
        <v>25</v>
      </c>
      <c r="N51" s="17">
        <f>(N47-N46)*0.00754</f>
        <v>14.5161066215412</v>
      </c>
      <c r="O51" s="221"/>
    </row>
    <row r="52" spans="1:15" ht="12.75" hidden="1">
      <c r="A52" s="221">
        <v>1</v>
      </c>
      <c r="B52" s="51"/>
      <c r="C52" s="221"/>
      <c r="D52" s="16">
        <v>713</v>
      </c>
      <c r="E52" s="109" t="s">
        <v>26</v>
      </c>
      <c r="F52" s="17">
        <f>(F47-F46)*0.007</f>
        <v>10.26867266649</v>
      </c>
      <c r="H52" s="16">
        <v>713</v>
      </c>
      <c r="I52" s="109" t="s">
        <v>26</v>
      </c>
      <c r="J52" s="17">
        <f>(J47-J46)*0.007</f>
        <v>12.861822900780002</v>
      </c>
      <c r="L52" s="16">
        <v>713</v>
      </c>
      <c r="M52" s="109" t="s">
        <v>26</v>
      </c>
      <c r="N52" s="17">
        <f>(N47-N46)*0.007</f>
        <v>13.476491558460001</v>
      </c>
      <c r="O52" s="221"/>
    </row>
    <row r="53" spans="1:15" ht="13.5" hidden="1" thickBot="1">
      <c r="A53" s="221">
        <v>1</v>
      </c>
      <c r="B53" s="51"/>
      <c r="C53" s="221"/>
      <c r="D53" s="16"/>
      <c r="E53" s="110" t="s">
        <v>27</v>
      </c>
      <c r="F53" s="50">
        <v>0</v>
      </c>
      <c r="H53" s="16"/>
      <c r="I53" s="110" t="s">
        <v>27</v>
      </c>
      <c r="J53" s="50">
        <v>0</v>
      </c>
      <c r="L53" s="16"/>
      <c r="M53" s="110" t="s">
        <v>27</v>
      </c>
      <c r="N53" s="50">
        <v>0</v>
      </c>
      <c r="O53" s="221"/>
    </row>
    <row r="54" spans="1:15" ht="16.5" hidden="1" thickBot="1">
      <c r="A54" s="221">
        <v>1</v>
      </c>
      <c r="B54" s="51"/>
      <c r="C54" s="221"/>
      <c r="D54" s="111"/>
      <c r="E54" s="105" t="s">
        <v>28</v>
      </c>
      <c r="F54" s="106">
        <f>SUM(F48:F53)</f>
        <v>100.2515842897038</v>
      </c>
      <c r="H54" s="111"/>
      <c r="I54" s="105" t="s">
        <v>28</v>
      </c>
      <c r="J54" s="106">
        <f>SUM(J48:J53)</f>
        <v>125.56813957704361</v>
      </c>
      <c r="L54" s="111"/>
      <c r="M54" s="105" t="s">
        <v>28</v>
      </c>
      <c r="N54" s="106">
        <f>SUM(N48:N53)</f>
        <v>131.5690618721652</v>
      </c>
      <c r="O54" s="221"/>
    </row>
    <row r="55" spans="1:15" ht="13.5" hidden="1" thickBot="1">
      <c r="A55" s="221">
        <v>1</v>
      </c>
      <c r="B55" s="51"/>
      <c r="C55" s="221"/>
      <c r="D55" s="112"/>
      <c r="E55" s="113"/>
      <c r="F55" s="114"/>
      <c r="H55" s="112"/>
      <c r="I55" s="113"/>
      <c r="J55" s="114"/>
      <c r="L55" s="112"/>
      <c r="M55" s="113"/>
      <c r="N55" s="114"/>
      <c r="O55" s="221"/>
    </row>
    <row r="56" spans="1:15" ht="16.5" hidden="1" thickBot="1">
      <c r="A56" s="221">
        <v>1</v>
      </c>
      <c r="B56" s="118"/>
      <c r="C56" s="221"/>
      <c r="D56" s="115"/>
      <c r="E56" s="116" t="s">
        <v>29</v>
      </c>
      <c r="F56" s="117">
        <f>F47-F54</f>
        <v>1366.7016537802963</v>
      </c>
      <c r="H56" s="115"/>
      <c r="I56" s="116" t="s">
        <v>29</v>
      </c>
      <c r="J56" s="117">
        <f>J47-J54</f>
        <v>1711.8351319629564</v>
      </c>
      <c r="L56" s="115"/>
      <c r="M56" s="116" t="s">
        <v>29</v>
      </c>
      <c r="N56" s="117">
        <f>N47-N54</f>
        <v>1793.644017907835</v>
      </c>
      <c r="O56" s="221"/>
    </row>
    <row r="57" spans="1:15" ht="15.75" hidden="1">
      <c r="A57" s="221"/>
      <c r="B57" s="118"/>
      <c r="C57" s="221"/>
      <c r="D57" s="4"/>
      <c r="E57" s="281"/>
      <c r="F57" s="286"/>
      <c r="O57" s="221"/>
    </row>
    <row r="58" spans="1:16" ht="15.75" hidden="1">
      <c r="A58" s="221"/>
      <c r="B58" s="118"/>
      <c r="C58" s="221"/>
      <c r="D58" s="4"/>
      <c r="E58" s="383" t="s">
        <v>437</v>
      </c>
      <c r="F58" s="380"/>
      <c r="G58" s="381"/>
      <c r="H58" s="382"/>
      <c r="I58" s="298" t="s">
        <v>476</v>
      </c>
      <c r="J58" s="299">
        <f>J56-F56</f>
        <v>345.13347818266016</v>
      </c>
      <c r="M58" s="298" t="s">
        <v>474</v>
      </c>
      <c r="N58" s="299">
        <f>N56-J56</f>
        <v>81.80888594487851</v>
      </c>
      <c r="O58" s="400" t="s">
        <v>472</v>
      </c>
      <c r="P58" s="378">
        <f>N56-F56</f>
        <v>426.94236412753867</v>
      </c>
    </row>
    <row r="59" spans="1:16" ht="15.75" hidden="1">
      <c r="A59" s="221"/>
      <c r="B59" s="118"/>
      <c r="C59" s="118"/>
      <c r="D59" s="4"/>
      <c r="E59" s="281"/>
      <c r="F59" s="372"/>
      <c r="G59" s="78"/>
      <c r="H59" s="370"/>
      <c r="I59" s="298" t="s">
        <v>477</v>
      </c>
      <c r="J59" s="300">
        <f>J58/F56</f>
        <v>0.25253022649677864</v>
      </c>
      <c r="M59" s="298" t="s">
        <v>475</v>
      </c>
      <c r="N59" s="300">
        <f>N58/J56</f>
        <v>0.04779016648120108</v>
      </c>
      <c r="O59" s="400" t="s">
        <v>473</v>
      </c>
      <c r="P59" s="379">
        <f>P58/F56</f>
        <v>0.31238885454379617</v>
      </c>
    </row>
    <row r="60" spans="1:15" ht="15.75" hidden="1">
      <c r="A60" s="221">
        <v>1</v>
      </c>
      <c r="B60" s="118"/>
      <c r="C60" s="237"/>
      <c r="D60" s="14"/>
      <c r="E60" s="235"/>
      <c r="F60" s="236"/>
      <c r="G60" s="11"/>
      <c r="H60" s="11"/>
      <c r="O60" s="221"/>
    </row>
    <row r="61" spans="1:17" ht="15.75">
      <c r="A61" s="221">
        <v>1</v>
      </c>
      <c r="B61" s="118"/>
      <c r="C61" s="237"/>
      <c r="D61" s="238"/>
      <c r="E61" s="239"/>
      <c r="F61" s="118"/>
      <c r="G61" s="237"/>
      <c r="H61" s="240"/>
      <c r="I61" s="241"/>
      <c r="J61" s="241"/>
      <c r="K61" s="241"/>
      <c r="L61" s="241"/>
      <c r="M61" s="118"/>
      <c r="N61" s="389"/>
      <c r="O61" s="51"/>
      <c r="P61" s="11"/>
      <c r="Q61" s="11"/>
    </row>
    <row r="62" ht="21.75" customHeight="1" hidden="1"/>
    <row r="63" spans="3:16" s="364" customFormat="1" ht="15.75" hidden="1">
      <c r="C63" s="359"/>
      <c r="F63" s="223"/>
      <c r="G63" s="155"/>
      <c r="H63" s="79"/>
      <c r="I63" s="79"/>
      <c r="J63" s="223"/>
      <c r="K63" s="12"/>
      <c r="L63" s="155"/>
      <c r="M63" s="155"/>
      <c r="N63" s="155"/>
      <c r="O63" s="155"/>
      <c r="P63" s="155"/>
    </row>
    <row r="64" spans="1:20" ht="16.5" hidden="1" thickBot="1">
      <c r="A64">
        <v>2</v>
      </c>
      <c r="F64" t="s">
        <v>435</v>
      </c>
      <c r="G64" s="11" t="s">
        <v>439</v>
      </c>
      <c r="H64" s="11" t="s">
        <v>440</v>
      </c>
      <c r="I64" s="152" t="s">
        <v>441</v>
      </c>
      <c r="J64" s="152" t="s">
        <v>442</v>
      </c>
      <c r="K64" s="152" t="s">
        <v>443</v>
      </c>
      <c r="L64" s="152" t="s">
        <v>444</v>
      </c>
      <c r="M64" s="152" t="s">
        <v>445</v>
      </c>
      <c r="N64" s="152" t="s">
        <v>446</v>
      </c>
      <c r="O64" s="173" t="s">
        <v>447</v>
      </c>
      <c r="P64" s="173">
        <v>1</v>
      </c>
      <c r="Q64" s="173">
        <v>2</v>
      </c>
      <c r="R64" s="173">
        <v>3</v>
      </c>
      <c r="S64" s="173">
        <v>4</v>
      </c>
      <c r="T64" s="173">
        <v>5</v>
      </c>
    </row>
    <row r="65" spans="1:20" ht="16.5" hidden="1" thickBot="1">
      <c r="A65">
        <v>2</v>
      </c>
      <c r="E65" s="137">
        <v>0</v>
      </c>
      <c r="F65" s="154">
        <f>IF(puntosproljorvarios2&lt;620,T65,O65)</f>
        <v>80</v>
      </c>
      <c r="G65" s="154">
        <v>80</v>
      </c>
      <c r="H65" s="307">
        <v>80</v>
      </c>
      <c r="I65" s="174">
        <v>0</v>
      </c>
      <c r="J65" s="175">
        <v>0</v>
      </c>
      <c r="K65" s="176">
        <v>0</v>
      </c>
      <c r="L65" s="308">
        <v>0</v>
      </c>
      <c r="M65" s="309">
        <v>80</v>
      </c>
      <c r="N65" s="310">
        <v>80</v>
      </c>
      <c r="O65" s="177">
        <f aca="true" t="shared" si="6" ref="O65:O76">IF(punbasjubvarios2&gt;971,N65,M65)</f>
        <v>80</v>
      </c>
      <c r="P65" s="177">
        <f>IF(punbasjubvarios2&lt;972,G65,H65)</f>
        <v>80</v>
      </c>
      <c r="Q65" s="177">
        <f aca="true" t="shared" si="7" ref="Q65:Q76">IF(punbasjubvarios1&lt;1170,P65,I65)</f>
        <v>80</v>
      </c>
      <c r="R65" s="177">
        <f aca="true" t="shared" si="8" ref="R65:R76">IF(punbasjubvarios2&lt;1401,Q65,J65)</f>
        <v>80</v>
      </c>
      <c r="S65" s="177">
        <f aca="true" t="shared" si="9" ref="S65:S76">IF(punbasjubvarios2&lt;1943,R65,K65)</f>
        <v>80</v>
      </c>
      <c r="T65" s="177">
        <f aca="true" t="shared" si="10" ref="T65:T76">IF(punbasjubvarios2&lt;=2220,S65,L65)</f>
        <v>80</v>
      </c>
    </row>
    <row r="66" spans="1:20" ht="16.5" hidden="1" thickBot="1">
      <c r="A66">
        <v>2</v>
      </c>
      <c r="E66" s="138">
        <v>0.1</v>
      </c>
      <c r="F66" s="154">
        <f>IF(puntosproljorvarios2&lt;620,T66,O66)</f>
        <v>90</v>
      </c>
      <c r="G66" s="154">
        <v>90</v>
      </c>
      <c r="H66" s="312">
        <v>90</v>
      </c>
      <c r="I66" s="174">
        <v>0</v>
      </c>
      <c r="J66" s="175">
        <v>0</v>
      </c>
      <c r="K66" s="176">
        <v>0</v>
      </c>
      <c r="L66" s="308">
        <v>0</v>
      </c>
      <c r="M66" s="309">
        <v>90</v>
      </c>
      <c r="N66" s="310">
        <v>90</v>
      </c>
      <c r="O66" s="177">
        <f t="shared" si="6"/>
        <v>90</v>
      </c>
      <c r="P66" s="177">
        <f aca="true" t="shared" si="11" ref="P66:P76">IF(punbasjubvarios1&lt;972,G66,H66)</f>
        <v>90</v>
      </c>
      <c r="Q66" s="177">
        <f t="shared" si="7"/>
        <v>90</v>
      </c>
      <c r="R66" s="177">
        <f t="shared" si="8"/>
        <v>90</v>
      </c>
      <c r="S66" s="177">
        <f t="shared" si="9"/>
        <v>90</v>
      </c>
      <c r="T66" s="177">
        <f t="shared" si="10"/>
        <v>90</v>
      </c>
    </row>
    <row r="67" spans="1:20" ht="16.5" hidden="1" thickBot="1">
      <c r="A67">
        <v>2</v>
      </c>
      <c r="E67" s="139">
        <v>0.15</v>
      </c>
      <c r="F67" s="154">
        <f>IF(puntosproljorvarios2&lt;620,T67,O67)</f>
        <v>180</v>
      </c>
      <c r="G67" s="154">
        <v>180</v>
      </c>
      <c r="H67" s="312">
        <v>180</v>
      </c>
      <c r="I67" s="178">
        <v>240</v>
      </c>
      <c r="J67" s="179">
        <v>193</v>
      </c>
      <c r="K67" s="180">
        <v>180</v>
      </c>
      <c r="L67" s="308">
        <v>0</v>
      </c>
      <c r="M67" s="309">
        <v>220</v>
      </c>
      <c r="N67" s="310">
        <v>220</v>
      </c>
      <c r="O67" s="177">
        <f t="shared" si="6"/>
        <v>220</v>
      </c>
      <c r="P67" s="177">
        <f t="shared" si="11"/>
        <v>180</v>
      </c>
      <c r="Q67" s="177">
        <f t="shared" si="7"/>
        <v>180</v>
      </c>
      <c r="R67" s="177">
        <f t="shared" si="8"/>
        <v>180</v>
      </c>
      <c r="S67" s="177">
        <f t="shared" si="9"/>
        <v>180</v>
      </c>
      <c r="T67" s="177">
        <f t="shared" si="10"/>
        <v>180</v>
      </c>
    </row>
    <row r="68" spans="1:20" ht="16.5" hidden="1" thickBot="1">
      <c r="A68">
        <v>2</v>
      </c>
      <c r="E68" s="139">
        <v>0.3</v>
      </c>
      <c r="F68" s="154">
        <f>IF(puntosproljorvarios2&lt;620,T68,O68)</f>
        <v>225</v>
      </c>
      <c r="G68" s="154">
        <v>225</v>
      </c>
      <c r="H68" s="312">
        <v>195</v>
      </c>
      <c r="I68" s="178">
        <v>240</v>
      </c>
      <c r="J68" s="179">
        <v>193</v>
      </c>
      <c r="K68" s="180">
        <v>180</v>
      </c>
      <c r="L68" s="308">
        <v>0</v>
      </c>
      <c r="M68" s="309">
        <v>380</v>
      </c>
      <c r="N68" s="310">
        <v>350</v>
      </c>
      <c r="O68" s="177">
        <f t="shared" si="6"/>
        <v>380</v>
      </c>
      <c r="P68" s="177">
        <f t="shared" si="11"/>
        <v>225</v>
      </c>
      <c r="Q68" s="177">
        <f t="shared" si="7"/>
        <v>225</v>
      </c>
      <c r="R68" s="177">
        <f t="shared" si="8"/>
        <v>225</v>
      </c>
      <c r="S68" s="177">
        <f t="shared" si="9"/>
        <v>225</v>
      </c>
      <c r="T68" s="177">
        <f t="shared" si="10"/>
        <v>225</v>
      </c>
    </row>
    <row r="69" spans="1:20" ht="16.5" hidden="1" thickBot="1">
      <c r="A69">
        <v>2</v>
      </c>
      <c r="E69" s="139">
        <v>0.4</v>
      </c>
      <c r="F69" s="154">
        <f>IF(puntosproljorvarios2&lt;620,T69,O69)</f>
        <v>250</v>
      </c>
      <c r="G69" s="154">
        <v>250</v>
      </c>
      <c r="H69" s="312">
        <v>210</v>
      </c>
      <c r="I69" s="178">
        <v>250</v>
      </c>
      <c r="J69" s="179">
        <v>200</v>
      </c>
      <c r="K69" s="180">
        <v>180</v>
      </c>
      <c r="L69" s="308">
        <v>140</v>
      </c>
      <c r="M69" s="309">
        <v>440</v>
      </c>
      <c r="N69" s="310">
        <v>400</v>
      </c>
      <c r="O69" s="177">
        <f t="shared" si="6"/>
        <v>440</v>
      </c>
      <c r="P69" s="177">
        <f t="shared" si="11"/>
        <v>250</v>
      </c>
      <c r="Q69" s="177">
        <f t="shared" si="7"/>
        <v>250</v>
      </c>
      <c r="R69" s="177">
        <f t="shared" si="8"/>
        <v>250</v>
      </c>
      <c r="S69" s="177">
        <f t="shared" si="9"/>
        <v>250</v>
      </c>
      <c r="T69" s="177">
        <f t="shared" si="10"/>
        <v>250</v>
      </c>
    </row>
    <row r="70" spans="1:20" ht="16.5" hidden="1" thickBot="1">
      <c r="A70">
        <v>2</v>
      </c>
      <c r="E70" s="139">
        <v>0.5</v>
      </c>
      <c r="F70" s="154">
        <f>IF(puntosproljorvarios2&lt;620,T70,O70)</f>
        <v>270</v>
      </c>
      <c r="G70" s="154">
        <v>270</v>
      </c>
      <c r="H70" s="312">
        <v>230</v>
      </c>
      <c r="I70" s="178">
        <v>250</v>
      </c>
      <c r="J70" s="157">
        <v>200</v>
      </c>
      <c r="K70" s="180">
        <v>180</v>
      </c>
      <c r="L70" s="308">
        <v>140</v>
      </c>
      <c r="M70" s="309">
        <v>475</v>
      </c>
      <c r="N70" s="310">
        <v>435</v>
      </c>
      <c r="O70" s="177">
        <f t="shared" si="6"/>
        <v>475</v>
      </c>
      <c r="P70" s="177">
        <f t="shared" si="11"/>
        <v>270</v>
      </c>
      <c r="Q70" s="177">
        <f t="shared" si="7"/>
        <v>270</v>
      </c>
      <c r="R70" s="177">
        <f t="shared" si="8"/>
        <v>270</v>
      </c>
      <c r="S70" s="177">
        <f t="shared" si="9"/>
        <v>270</v>
      </c>
      <c r="T70" s="177">
        <f t="shared" si="10"/>
        <v>270</v>
      </c>
    </row>
    <row r="71" spans="1:20" ht="16.5" hidden="1" thickBot="1">
      <c r="A71">
        <v>2</v>
      </c>
      <c r="E71" s="139">
        <v>0.6</v>
      </c>
      <c r="F71" s="154">
        <f>IF(puntosproljorvarios2&lt;620,T71,O71)</f>
        <v>320</v>
      </c>
      <c r="G71" s="154">
        <v>320</v>
      </c>
      <c r="H71" s="312">
        <v>260</v>
      </c>
      <c r="I71" s="178">
        <v>260</v>
      </c>
      <c r="J71" s="157">
        <v>203</v>
      </c>
      <c r="K71" s="180">
        <v>190</v>
      </c>
      <c r="L71" s="308">
        <v>160</v>
      </c>
      <c r="M71" s="309">
        <v>510</v>
      </c>
      <c r="N71" s="310">
        <v>450</v>
      </c>
      <c r="O71" s="177">
        <f t="shared" si="6"/>
        <v>510</v>
      </c>
      <c r="P71" s="177">
        <f t="shared" si="11"/>
        <v>320</v>
      </c>
      <c r="Q71" s="177">
        <f t="shared" si="7"/>
        <v>320</v>
      </c>
      <c r="R71" s="177">
        <f t="shared" si="8"/>
        <v>320</v>
      </c>
      <c r="S71" s="177">
        <f t="shared" si="9"/>
        <v>320</v>
      </c>
      <c r="T71" s="177">
        <f t="shared" si="10"/>
        <v>320</v>
      </c>
    </row>
    <row r="72" spans="1:20" ht="16.5" hidden="1" thickBot="1">
      <c r="A72">
        <v>2</v>
      </c>
      <c r="E72" s="139">
        <v>0.7</v>
      </c>
      <c r="F72" s="154">
        <f>IF(puntosproljorvarios2&lt;620,T72,O72)</f>
        <v>345</v>
      </c>
      <c r="G72" s="154">
        <v>345</v>
      </c>
      <c r="H72" s="312">
        <v>285</v>
      </c>
      <c r="I72" s="178">
        <v>365</v>
      </c>
      <c r="J72" s="157">
        <v>230</v>
      </c>
      <c r="K72" s="180">
        <v>190</v>
      </c>
      <c r="L72" s="308">
        <v>160</v>
      </c>
      <c r="M72" s="309">
        <v>525</v>
      </c>
      <c r="N72" s="310">
        <v>465</v>
      </c>
      <c r="O72" s="177">
        <f t="shared" si="6"/>
        <v>525</v>
      </c>
      <c r="P72" s="177">
        <f t="shared" si="11"/>
        <v>345</v>
      </c>
      <c r="Q72" s="177">
        <f t="shared" si="7"/>
        <v>345</v>
      </c>
      <c r="R72" s="177">
        <f t="shared" si="8"/>
        <v>345</v>
      </c>
      <c r="S72" s="177">
        <f t="shared" si="9"/>
        <v>345</v>
      </c>
      <c r="T72" s="177">
        <f t="shared" si="10"/>
        <v>345</v>
      </c>
    </row>
    <row r="73" spans="1:20" ht="16.5" hidden="1" thickBot="1">
      <c r="A73">
        <v>2</v>
      </c>
      <c r="E73" s="139">
        <v>0.8</v>
      </c>
      <c r="F73" s="154">
        <f>IF(puntosproljorvarios2&lt;620,T73,O73)</f>
        <v>425</v>
      </c>
      <c r="G73" s="154">
        <v>425</v>
      </c>
      <c r="H73" s="312">
        <v>345</v>
      </c>
      <c r="I73" s="156">
        <v>395</v>
      </c>
      <c r="J73" s="157">
        <v>340</v>
      </c>
      <c r="K73" s="181">
        <v>280</v>
      </c>
      <c r="L73" s="314">
        <v>180</v>
      </c>
      <c r="M73" s="309">
        <v>555</v>
      </c>
      <c r="N73" s="310">
        <v>475</v>
      </c>
      <c r="O73" s="177">
        <f t="shared" si="6"/>
        <v>555</v>
      </c>
      <c r="P73" s="177">
        <f t="shared" si="11"/>
        <v>425</v>
      </c>
      <c r="Q73" s="177">
        <f t="shared" si="7"/>
        <v>425</v>
      </c>
      <c r="R73" s="177">
        <f t="shared" si="8"/>
        <v>425</v>
      </c>
      <c r="S73" s="177">
        <f t="shared" si="9"/>
        <v>425</v>
      </c>
      <c r="T73" s="177">
        <f t="shared" si="10"/>
        <v>425</v>
      </c>
    </row>
    <row r="74" spans="1:20" ht="16.5" hidden="1" thickBot="1">
      <c r="A74">
        <v>2</v>
      </c>
      <c r="E74" s="139">
        <v>1</v>
      </c>
      <c r="F74" s="154">
        <f>IF(puntosproljorvarios2&lt;620,T74,O74)</f>
        <v>535</v>
      </c>
      <c r="G74" s="154">
        <v>535</v>
      </c>
      <c r="H74" s="312">
        <v>435</v>
      </c>
      <c r="I74" s="156">
        <v>410</v>
      </c>
      <c r="J74" s="157">
        <v>330</v>
      </c>
      <c r="K74" s="181">
        <v>310</v>
      </c>
      <c r="L74" s="314">
        <v>180</v>
      </c>
      <c r="M74" s="309">
        <v>590</v>
      </c>
      <c r="N74" s="310">
        <v>490</v>
      </c>
      <c r="O74" s="177">
        <f t="shared" si="6"/>
        <v>590</v>
      </c>
      <c r="P74" s="177">
        <f t="shared" si="11"/>
        <v>535</v>
      </c>
      <c r="Q74" s="177">
        <f t="shared" si="7"/>
        <v>535</v>
      </c>
      <c r="R74" s="177">
        <f t="shared" si="8"/>
        <v>535</v>
      </c>
      <c r="S74" s="177">
        <f t="shared" si="9"/>
        <v>535</v>
      </c>
      <c r="T74" s="177">
        <f t="shared" si="10"/>
        <v>535</v>
      </c>
    </row>
    <row r="75" spans="1:20" ht="16.5" hidden="1" thickBot="1">
      <c r="A75">
        <v>2</v>
      </c>
      <c r="E75" s="139">
        <v>1.1</v>
      </c>
      <c r="F75" s="154">
        <f>IF(puntosproljorvarios2&lt;620,T75,O75)</f>
        <v>605</v>
      </c>
      <c r="G75" s="154">
        <v>605</v>
      </c>
      <c r="H75" s="312">
        <v>495</v>
      </c>
      <c r="I75" s="156">
        <v>430</v>
      </c>
      <c r="J75" s="157">
        <v>330</v>
      </c>
      <c r="K75" s="181">
        <v>320</v>
      </c>
      <c r="L75" s="314">
        <v>190</v>
      </c>
      <c r="M75" s="309">
        <v>615</v>
      </c>
      <c r="N75" s="310">
        <v>505</v>
      </c>
      <c r="O75" s="177">
        <f t="shared" si="6"/>
        <v>615</v>
      </c>
      <c r="P75" s="177">
        <f t="shared" si="11"/>
        <v>605</v>
      </c>
      <c r="Q75" s="177">
        <f t="shared" si="7"/>
        <v>605</v>
      </c>
      <c r="R75" s="177">
        <f t="shared" si="8"/>
        <v>605</v>
      </c>
      <c r="S75" s="177">
        <f t="shared" si="9"/>
        <v>605</v>
      </c>
      <c r="T75" s="177">
        <f t="shared" si="10"/>
        <v>605</v>
      </c>
    </row>
    <row r="76" spans="1:20" ht="16.5" hidden="1" thickBot="1">
      <c r="A76">
        <v>2</v>
      </c>
      <c r="E76" s="140">
        <v>1.2</v>
      </c>
      <c r="F76" s="154">
        <f>IF(puntosproljorvarios2&lt;620,T76,O76)</f>
        <v>620</v>
      </c>
      <c r="G76" s="154">
        <v>620</v>
      </c>
      <c r="H76" s="312">
        <v>510</v>
      </c>
      <c r="I76" s="156">
        <v>480</v>
      </c>
      <c r="J76" s="157">
        <v>335</v>
      </c>
      <c r="K76" s="181">
        <v>330</v>
      </c>
      <c r="L76" s="314">
        <v>190</v>
      </c>
      <c r="M76" s="309">
        <v>620</v>
      </c>
      <c r="N76" s="310">
        <v>510</v>
      </c>
      <c r="O76" s="177">
        <f t="shared" si="6"/>
        <v>620</v>
      </c>
      <c r="P76" s="177">
        <f t="shared" si="11"/>
        <v>620</v>
      </c>
      <c r="Q76" s="177">
        <f t="shared" si="7"/>
        <v>620</v>
      </c>
      <c r="R76" s="177">
        <f t="shared" si="8"/>
        <v>620</v>
      </c>
      <c r="S76" s="177">
        <f t="shared" si="9"/>
        <v>620</v>
      </c>
      <c r="T76" s="177">
        <f t="shared" si="10"/>
        <v>620</v>
      </c>
    </row>
    <row r="77" spans="1:20" s="358" customFormat="1" ht="15.75" hidden="1">
      <c r="A77">
        <v>2</v>
      </c>
      <c r="E77" s="359"/>
      <c r="F77" s="223"/>
      <c r="G77" s="223"/>
      <c r="H77" s="360"/>
      <c r="I77" s="361"/>
      <c r="J77" s="361"/>
      <c r="K77" s="223"/>
      <c r="L77" s="12"/>
      <c r="M77" s="155"/>
      <c r="N77" s="155"/>
      <c r="O77" s="155"/>
      <c r="P77" s="155"/>
      <c r="Q77" s="155"/>
      <c r="R77" s="155"/>
      <c r="S77" s="155"/>
      <c r="T77" s="155"/>
    </row>
    <row r="78" spans="1:20" s="358" customFormat="1" ht="15.75" hidden="1">
      <c r="A78">
        <v>2</v>
      </c>
      <c r="E78" s="359"/>
      <c r="F78" s="223" t="s">
        <v>469</v>
      </c>
      <c r="G78" s="223">
        <f>LOOKUP(F93,porantvar2,cod06cargosvar2)</f>
        <v>620</v>
      </c>
      <c r="H78" s="360"/>
      <c r="I78" s="361"/>
      <c r="J78" s="361"/>
      <c r="K78" s="223"/>
      <c r="L78" s="12"/>
      <c r="M78" s="155"/>
      <c r="N78" s="155"/>
      <c r="O78" s="155"/>
      <c r="P78" s="155"/>
      <c r="Q78" s="155"/>
      <c r="R78" s="155"/>
      <c r="S78" s="155"/>
      <c r="T78" s="155"/>
    </row>
    <row r="79" spans="1:16" s="364" customFormat="1" ht="15.75" hidden="1">
      <c r="A79">
        <v>2</v>
      </c>
      <c r="C79" s="359"/>
      <c r="F79" s="223"/>
      <c r="G79" s="155"/>
      <c r="H79" s="79"/>
      <c r="I79" s="79"/>
      <c r="J79" s="223"/>
      <c r="K79" s="12"/>
      <c r="L79" s="155"/>
      <c r="M79" s="155"/>
      <c r="N79" s="155"/>
      <c r="O79" s="155"/>
      <c r="P79" s="155"/>
    </row>
    <row r="80" spans="1:15" ht="12.75">
      <c r="A80" s="390">
        <v>2</v>
      </c>
      <c r="B80" s="390"/>
      <c r="C80" s="390"/>
      <c r="D80" s="390"/>
      <c r="E80" s="390"/>
      <c r="F80" s="390"/>
      <c r="G80" s="390"/>
      <c r="H80" s="390"/>
      <c r="I80" s="390"/>
      <c r="J80" s="390"/>
      <c r="K80" s="390"/>
      <c r="L80" s="390"/>
      <c r="M80" s="390"/>
      <c r="N80" s="390"/>
      <c r="O80" s="390"/>
    </row>
    <row r="81" spans="1:17" ht="20.25">
      <c r="A81" s="390">
        <v>2</v>
      </c>
      <c r="B81" s="243"/>
      <c r="C81" s="249"/>
      <c r="D81" s="249"/>
      <c r="E81" s="90" t="s">
        <v>428</v>
      </c>
      <c r="F81" s="11"/>
      <c r="G81" s="11"/>
      <c r="H81" s="249"/>
      <c r="I81" s="249"/>
      <c r="J81" s="249"/>
      <c r="K81" s="249"/>
      <c r="L81" s="249"/>
      <c r="M81" s="249"/>
      <c r="N81" s="242"/>
      <c r="O81" s="401"/>
      <c r="P81" s="223"/>
      <c r="Q81" s="223"/>
    </row>
    <row r="82" spans="1:17" ht="12.75">
      <c r="A82" s="390">
        <v>2</v>
      </c>
      <c r="B82" s="243"/>
      <c r="C82" s="243"/>
      <c r="D82" s="243"/>
      <c r="E82" s="243"/>
      <c r="F82" s="243"/>
      <c r="G82" s="243"/>
      <c r="H82" s="392"/>
      <c r="I82" s="243"/>
      <c r="J82" s="243"/>
      <c r="K82" s="243"/>
      <c r="L82" s="243"/>
      <c r="M82" s="243"/>
      <c r="N82" s="242"/>
      <c r="O82" s="401"/>
      <c r="P82" s="223"/>
      <c r="Q82" s="223"/>
    </row>
    <row r="83" spans="1:17" ht="12.75">
      <c r="A83" s="390">
        <v>2</v>
      </c>
      <c r="B83" s="390"/>
      <c r="C83" s="390"/>
      <c r="D83" s="45" t="s">
        <v>52</v>
      </c>
      <c r="E83" s="45" t="s">
        <v>356</v>
      </c>
      <c r="F83" s="45" t="s">
        <v>357</v>
      </c>
      <c r="G83" s="45" t="s">
        <v>358</v>
      </c>
      <c r="H83" s="45" t="s">
        <v>359</v>
      </c>
      <c r="I83" s="112" t="s">
        <v>452</v>
      </c>
      <c r="J83" s="243"/>
      <c r="K83" s="243"/>
      <c r="L83" s="243"/>
      <c r="M83" s="243"/>
      <c r="N83" s="242"/>
      <c r="O83" s="401"/>
      <c r="P83" s="223"/>
      <c r="Q83" s="223"/>
    </row>
    <row r="84" spans="1:17" ht="16.5" thickBot="1">
      <c r="A84" s="390">
        <v>2</v>
      </c>
      <c r="B84" s="390"/>
      <c r="C84" s="390"/>
      <c r="D84" s="130">
        <v>749</v>
      </c>
      <c r="E84" s="91">
        <f>LOOKUP(D84,[0]!numerocargo,[0]!puntosbasicoscargo)</f>
        <v>971</v>
      </c>
      <c r="F84" s="91">
        <f>LOOKUP(D84,[0]!numerocargo,[0]!tardifcargo)</f>
        <v>0</v>
      </c>
      <c r="G84" s="91">
        <f>LOOKUP(D84,[0]!numerocargo,[0]!proljorcargo)</f>
        <v>0</v>
      </c>
      <c r="H84" s="91">
        <f>LOOKUP(D84,[0]!numerocargo,[0]!jorcomcargo)</f>
        <v>0</v>
      </c>
      <c r="I84" s="45">
        <f>LOOKUP(D84,Cargos!A3:A314,puntoscompbasico)</f>
        <v>170</v>
      </c>
      <c r="J84" s="243"/>
      <c r="K84" s="243"/>
      <c r="L84" s="243"/>
      <c r="M84" s="243"/>
      <c r="N84" s="242"/>
      <c r="O84" s="401"/>
      <c r="P84" s="223"/>
      <c r="Q84" s="223"/>
    </row>
    <row r="85" spans="1:17" ht="13.5" thickBot="1">
      <c r="A85" s="390">
        <v>2</v>
      </c>
      <c r="B85" s="390"/>
      <c r="C85" s="390"/>
      <c r="D85" s="92" t="s">
        <v>53</v>
      </c>
      <c r="E85" s="93" t="str">
        <f>LOOKUP(D84,[0]!numerocargo,[0]!nombrecargo)</f>
        <v> MAESTRO DE GRADO</v>
      </c>
      <c r="F85" s="43"/>
      <c r="G85" s="43"/>
      <c r="H85" s="66"/>
      <c r="I85" s="12"/>
      <c r="J85" s="243"/>
      <c r="K85" s="243"/>
      <c r="L85" s="243"/>
      <c r="M85" s="243"/>
      <c r="N85" s="242"/>
      <c r="O85" s="401"/>
      <c r="P85" s="223"/>
      <c r="Q85" s="223"/>
    </row>
    <row r="86" spans="1:17" ht="13.5" hidden="1" thickBot="1">
      <c r="A86" s="390">
        <v>2</v>
      </c>
      <c r="B86" s="390"/>
      <c r="C86" s="390"/>
      <c r="D86" s="224"/>
      <c r="E86" s="10"/>
      <c r="F86" s="2"/>
      <c r="G86" s="2"/>
      <c r="H86" s="2"/>
      <c r="I86" s="146" t="s">
        <v>384</v>
      </c>
      <c r="J86" s="398"/>
      <c r="K86" s="398"/>
      <c r="L86" s="398"/>
      <c r="M86" s="243"/>
      <c r="N86" s="243"/>
      <c r="O86" s="243"/>
      <c r="P86" s="11"/>
      <c r="Q86" s="11"/>
    </row>
    <row r="87" spans="1:17" ht="19.5" thickBot="1" thickTop="1">
      <c r="A87" s="390">
        <v>2</v>
      </c>
      <c r="B87" s="390"/>
      <c r="C87" s="390"/>
      <c r="D87" s="225" t="s">
        <v>373</v>
      </c>
      <c r="E87" s="136"/>
      <c r="F87" s="136"/>
      <c r="G87" s="136"/>
      <c r="H87" s="226">
        <v>0</v>
      </c>
      <c r="I87" s="147">
        <f>H87/120</f>
        <v>0</v>
      </c>
      <c r="J87" s="392"/>
      <c r="K87" s="392"/>
      <c r="L87" s="392"/>
      <c r="M87" s="243"/>
      <c r="N87" s="243"/>
      <c r="O87" s="243"/>
      <c r="P87" s="11"/>
      <c r="Q87" s="11"/>
    </row>
    <row r="88" spans="1:17" ht="17.25" hidden="1" thickBot="1" thickTop="1">
      <c r="A88" s="390">
        <v>2</v>
      </c>
      <c r="B88" s="391"/>
      <c r="C88" s="392"/>
      <c r="D88" s="2"/>
      <c r="E88" s="2"/>
      <c r="F88" s="227"/>
      <c r="G88" s="12"/>
      <c r="H88" s="10"/>
      <c r="I88" s="12"/>
      <c r="J88" s="243"/>
      <c r="K88" s="243"/>
      <c r="L88" s="243"/>
      <c r="M88" s="243"/>
      <c r="N88" s="243"/>
      <c r="O88" s="243"/>
      <c r="P88" s="11"/>
      <c r="Q88" s="11"/>
    </row>
    <row r="89" spans="1:17" ht="17.25" thickBot="1" thickTop="1">
      <c r="A89" s="390">
        <v>2</v>
      </c>
      <c r="B89" s="391"/>
      <c r="C89" s="390"/>
      <c r="D89" s="134" t="s">
        <v>386</v>
      </c>
      <c r="E89" s="150">
        <v>0</v>
      </c>
      <c r="F89" s="227"/>
      <c r="G89" s="12"/>
      <c r="H89" s="392"/>
      <c r="I89" s="243"/>
      <c r="J89" s="243"/>
      <c r="K89" s="243"/>
      <c r="L89" s="243"/>
      <c r="M89" s="243"/>
      <c r="N89" s="243"/>
      <c r="O89" s="243"/>
      <c r="P89" s="11"/>
      <c r="Q89" s="11"/>
    </row>
    <row r="90" spans="1:17" ht="13.5" hidden="1" thickTop="1">
      <c r="A90" s="390">
        <v>2</v>
      </c>
      <c r="B90" s="391"/>
      <c r="C90" s="392"/>
      <c r="D90" s="2"/>
      <c r="E90" s="2"/>
      <c r="F90" s="2"/>
      <c r="G90" s="12"/>
      <c r="H90" s="392"/>
      <c r="I90" s="243"/>
      <c r="J90" s="243"/>
      <c r="K90" s="243"/>
      <c r="L90" s="243"/>
      <c r="M90" s="243"/>
      <c r="N90" s="243"/>
      <c r="O90" s="243"/>
      <c r="P90" s="11"/>
      <c r="Q90" s="11"/>
    </row>
    <row r="91" spans="1:17" ht="13.5" hidden="1" thickBot="1">
      <c r="A91" s="390">
        <v>2</v>
      </c>
      <c r="B91" s="243"/>
      <c r="C91" s="249"/>
      <c r="D91" s="11"/>
      <c r="E91" s="11"/>
      <c r="F91" s="11"/>
      <c r="G91" s="11"/>
      <c r="H91" s="249"/>
      <c r="I91" s="249"/>
      <c r="J91" s="249"/>
      <c r="K91" s="249"/>
      <c r="L91" s="249"/>
      <c r="M91" s="249"/>
      <c r="N91" s="249"/>
      <c r="O91" s="249"/>
      <c r="P91" s="11"/>
      <c r="Q91" s="11"/>
    </row>
    <row r="92" spans="1:17" ht="17.25" thickBot="1" thickTop="1">
      <c r="A92" s="390">
        <v>2</v>
      </c>
      <c r="B92" s="243"/>
      <c r="C92" s="249"/>
      <c r="D92" s="94" t="s">
        <v>14</v>
      </c>
      <c r="E92" s="43"/>
      <c r="F92" s="95">
        <f>E84*indicesep07</f>
        <v>480.645</v>
      </c>
      <c r="G92" s="11"/>
      <c r="H92" s="249"/>
      <c r="I92" s="249"/>
      <c r="J92" s="249"/>
      <c r="K92" s="249"/>
      <c r="L92" s="249"/>
      <c r="M92" s="247"/>
      <c r="N92" s="247"/>
      <c r="O92" s="249"/>
      <c r="P92" s="11"/>
      <c r="Q92" s="11"/>
    </row>
    <row r="93" spans="1:17" ht="16.5" thickBot="1">
      <c r="A93" s="390">
        <v>2</v>
      </c>
      <c r="B93" s="243"/>
      <c r="C93" s="249"/>
      <c r="D93" s="244" t="s">
        <v>15</v>
      </c>
      <c r="E93" s="245"/>
      <c r="F93" s="246">
        <v>1.2</v>
      </c>
      <c r="G93" s="78" t="s">
        <v>16</v>
      </c>
      <c r="H93" s="78"/>
      <c r="I93" s="249"/>
      <c r="J93" s="249"/>
      <c r="K93" s="249"/>
      <c r="L93" s="249"/>
      <c r="M93" s="249"/>
      <c r="N93" s="247"/>
      <c r="O93" s="249"/>
      <c r="P93" s="11"/>
      <c r="Q93" s="11"/>
    </row>
    <row r="94" spans="1:17" ht="15.75">
      <c r="A94" s="390">
        <v>2</v>
      </c>
      <c r="B94" s="243"/>
      <c r="C94" s="249"/>
      <c r="D94" s="243"/>
      <c r="E94" s="243"/>
      <c r="F94" s="248"/>
      <c r="G94" s="249"/>
      <c r="H94" s="249"/>
      <c r="I94" s="249"/>
      <c r="J94" s="249"/>
      <c r="K94" s="249"/>
      <c r="L94" s="249"/>
      <c r="M94" s="249"/>
      <c r="N94" s="250"/>
      <c r="O94" s="249"/>
      <c r="P94" s="11"/>
      <c r="Q94" s="11"/>
    </row>
    <row r="95" spans="1:17" ht="18.75" thickBot="1">
      <c r="A95" s="390">
        <v>2</v>
      </c>
      <c r="B95" s="243"/>
      <c r="C95" s="249"/>
      <c r="D95" s="98" t="s">
        <v>17</v>
      </c>
      <c r="E95" s="98"/>
      <c r="F95" s="99">
        <f>E84</f>
        <v>971</v>
      </c>
      <c r="G95" s="11" t="s">
        <v>18</v>
      </c>
      <c r="H95" s="11"/>
      <c r="I95" s="96">
        <f>H84+G84</f>
        <v>0</v>
      </c>
      <c r="J95" s="96"/>
      <c r="K95" s="96"/>
      <c r="L95" s="96"/>
      <c r="M95" s="2"/>
      <c r="N95" s="11"/>
      <c r="O95" s="249"/>
      <c r="P95" s="11"/>
      <c r="Q95" s="11"/>
    </row>
    <row r="96" spans="1:17" ht="15.75" hidden="1">
      <c r="A96" s="390">
        <v>2</v>
      </c>
      <c r="B96" s="243"/>
      <c r="C96" s="249"/>
      <c r="D96" s="2"/>
      <c r="E96" s="2"/>
      <c r="F96" s="231"/>
      <c r="G96" s="11"/>
      <c r="H96" s="11"/>
      <c r="I96" s="2"/>
      <c r="J96" s="2"/>
      <c r="K96" s="2"/>
      <c r="L96" s="2"/>
      <c r="M96" s="100"/>
      <c r="N96" s="11"/>
      <c r="O96" s="249"/>
      <c r="P96" s="11"/>
      <c r="Q96" s="11"/>
    </row>
    <row r="97" spans="1:15" ht="15.75">
      <c r="A97" s="390">
        <v>2</v>
      </c>
      <c r="B97" s="243"/>
      <c r="C97" s="249"/>
      <c r="D97" s="11"/>
      <c r="E97" s="187" t="s">
        <v>455</v>
      </c>
      <c r="F97" s="11"/>
      <c r="G97" s="249"/>
      <c r="H97" s="11"/>
      <c r="I97" s="187" t="s">
        <v>463</v>
      </c>
      <c r="J97" s="11"/>
      <c r="K97" s="390"/>
      <c r="L97" s="11"/>
      <c r="M97" s="187" t="s">
        <v>478</v>
      </c>
      <c r="N97" s="11"/>
      <c r="O97" s="390"/>
    </row>
    <row r="98" spans="1:15" ht="12.75">
      <c r="A98" s="390">
        <v>2</v>
      </c>
      <c r="B98" s="243"/>
      <c r="C98" s="390"/>
      <c r="D98" s="18">
        <v>400</v>
      </c>
      <c r="E98" s="18" t="s">
        <v>19</v>
      </c>
      <c r="F98" s="101">
        <f>punbasjubvarios2*indicesep07*0.82*frac2</f>
        <v>0</v>
      </c>
      <c r="G98" s="390"/>
      <c r="H98" s="18">
        <v>400</v>
      </c>
      <c r="I98" s="18" t="s">
        <v>19</v>
      </c>
      <c r="J98" s="101">
        <f>punbasjubvarios2*indicemar08*0.82*frac2</f>
        <v>0</v>
      </c>
      <c r="K98" s="390"/>
      <c r="L98" s="18">
        <v>400</v>
      </c>
      <c r="M98" s="18" t="s">
        <v>19</v>
      </c>
      <c r="N98" s="101">
        <f>punbasjubvarios2*indicejul08*0.82*frac2</f>
        <v>0</v>
      </c>
      <c r="O98" s="390"/>
    </row>
    <row r="99" spans="1:15" ht="12.75">
      <c r="A99" s="390">
        <v>2</v>
      </c>
      <c r="B99" s="243"/>
      <c r="C99" s="390"/>
      <c r="D99" s="18" t="s">
        <v>468</v>
      </c>
      <c r="E99" s="18" t="s">
        <v>454</v>
      </c>
      <c r="F99" s="338">
        <v>0</v>
      </c>
      <c r="G99" s="390"/>
      <c r="H99" s="18" t="s">
        <v>468</v>
      </c>
      <c r="I99" s="18" t="s">
        <v>454</v>
      </c>
      <c r="J99" s="338">
        <f>compbasicovarios2*indicemar08*0.82*frac2</f>
        <v>0</v>
      </c>
      <c r="K99" s="390"/>
      <c r="L99" s="18" t="s">
        <v>468</v>
      </c>
      <c r="M99" s="18" t="s">
        <v>454</v>
      </c>
      <c r="N99" s="338">
        <f>compbasicovarios2*indicejul08*0.82*frac2</f>
        <v>0</v>
      </c>
      <c r="O99" s="390"/>
    </row>
    <row r="100" spans="1:14" ht="12.75" hidden="1">
      <c r="A100" s="390">
        <v>2</v>
      </c>
      <c r="B100" s="243"/>
      <c r="C100" s="390"/>
      <c r="D100" s="18">
        <v>404</v>
      </c>
      <c r="E100" s="18" t="s">
        <v>361</v>
      </c>
      <c r="F100" s="101">
        <f>F84*indicesep07*0.82*frac2</f>
        <v>0</v>
      </c>
      <c r="H100" s="18">
        <v>404</v>
      </c>
      <c r="I100" s="18" t="s">
        <v>361</v>
      </c>
      <c r="J100" s="101">
        <f>F84*indicemar08*0.82*frac2</f>
        <v>0</v>
      </c>
      <c r="L100" s="18">
        <v>404</v>
      </c>
      <c r="M100" s="18" t="s">
        <v>361</v>
      </c>
      <c r="N100" s="101">
        <f>F84*indicejul08*0.82*frac2</f>
        <v>0</v>
      </c>
    </row>
    <row r="101" spans="1:14" ht="12.75" hidden="1">
      <c r="A101" s="390">
        <v>2</v>
      </c>
      <c r="B101" s="243"/>
      <c r="C101" s="390"/>
      <c r="D101" s="18">
        <v>406</v>
      </c>
      <c r="E101" s="18" t="s">
        <v>20</v>
      </c>
      <c r="F101" s="101">
        <f>(F98+F99+F100+F103)*F93</f>
        <v>0</v>
      </c>
      <c r="H101" s="18">
        <v>406</v>
      </c>
      <c r="I101" s="18" t="s">
        <v>20</v>
      </c>
      <c r="J101" s="101">
        <f>(J98+J99+J100+J103)*F93</f>
        <v>0</v>
      </c>
      <c r="L101" s="18">
        <v>406</v>
      </c>
      <c r="M101" s="18" t="s">
        <v>20</v>
      </c>
      <c r="N101" s="101">
        <f>(N98+N99+N100+N103)*F93</f>
        <v>0</v>
      </c>
    </row>
    <row r="102" spans="1:14" ht="12.75" hidden="1">
      <c r="A102" s="390">
        <v>2</v>
      </c>
      <c r="B102" s="243"/>
      <c r="C102" s="390"/>
      <c r="D102" s="18">
        <v>408</v>
      </c>
      <c r="E102" s="18" t="s">
        <v>385</v>
      </c>
      <c r="F102" s="101">
        <f>(F98+F103+F99+F100)*E89</f>
        <v>0</v>
      </c>
      <c r="H102" s="18">
        <v>408</v>
      </c>
      <c r="I102" s="18" t="s">
        <v>385</v>
      </c>
      <c r="J102" s="101">
        <f>(J98+J99+J100+J103)*E89</f>
        <v>0</v>
      </c>
      <c r="L102" s="18">
        <v>408</v>
      </c>
      <c r="M102" s="18" t="s">
        <v>385</v>
      </c>
      <c r="N102" s="101">
        <f>(N98+N99+N100+N103)*E89</f>
        <v>0</v>
      </c>
    </row>
    <row r="103" spans="1:14" ht="12.75" hidden="1">
      <c r="A103" s="390">
        <v>2</v>
      </c>
      <c r="B103" s="243"/>
      <c r="C103" s="390"/>
      <c r="D103" s="18">
        <v>416</v>
      </c>
      <c r="E103" s="109" t="s">
        <v>362</v>
      </c>
      <c r="F103" s="101">
        <f>puntosproljorvarios2*proljorsep07*0.82*frac2</f>
        <v>0</v>
      </c>
      <c r="H103" s="18">
        <v>416</v>
      </c>
      <c r="I103" s="102" t="s">
        <v>362</v>
      </c>
      <c r="J103" s="101">
        <f>puntosproljorvarios2*proljormar08*0.82*frac2</f>
        <v>0</v>
      </c>
      <c r="L103" s="18">
        <v>416</v>
      </c>
      <c r="M103" s="102" t="s">
        <v>362</v>
      </c>
      <c r="N103" s="101">
        <f>puntosproljorvarios2*proljorjul08*0.82*frac2</f>
        <v>0</v>
      </c>
    </row>
    <row r="104" spans="1:14" ht="12.75" hidden="1">
      <c r="A104" s="390">
        <v>2</v>
      </c>
      <c r="B104" s="243"/>
      <c r="C104" s="390"/>
      <c r="D104" s="18">
        <v>432</v>
      </c>
      <c r="E104" s="18" t="s">
        <v>383</v>
      </c>
      <c r="F104" s="101">
        <f>cod06sep07varios2*0.82*frac2</f>
        <v>0</v>
      </c>
      <c r="H104" s="18">
        <v>432</v>
      </c>
      <c r="I104" s="18" t="s">
        <v>383</v>
      </c>
      <c r="J104" s="101">
        <f>cod06sep07varios2*0.82*frac2</f>
        <v>0</v>
      </c>
      <c r="L104" s="18">
        <v>432</v>
      </c>
      <c r="M104" s="18" t="s">
        <v>383</v>
      </c>
      <c r="N104" s="101">
        <f>cod06sep07varios2*0.82*frac2</f>
        <v>0</v>
      </c>
    </row>
    <row r="105" spans="1:14" ht="12.75" hidden="1">
      <c r="A105" s="390">
        <v>2</v>
      </c>
      <c r="B105" s="243"/>
      <c r="C105" s="390"/>
      <c r="D105" s="18">
        <v>434</v>
      </c>
      <c r="E105" s="18" t="s">
        <v>360</v>
      </c>
      <c r="F105" s="101">
        <f>(F98+F99+F100+F101+F103+F104+F102)*0.07*0.95</f>
        <v>0</v>
      </c>
      <c r="H105" s="18">
        <v>434</v>
      </c>
      <c r="I105" s="18" t="s">
        <v>360</v>
      </c>
      <c r="J105" s="101">
        <f>(J98+J99+J100+J101+J103+J104+J102)*0.07*0.95</f>
        <v>0</v>
      </c>
      <c r="L105" s="18">
        <v>434</v>
      </c>
      <c r="M105" s="18" t="s">
        <v>360</v>
      </c>
      <c r="N105" s="101">
        <f>(N98+N99+N100+N101+N103+N104+N102)*0.07*0.95</f>
        <v>0</v>
      </c>
    </row>
    <row r="106" spans="1:14" ht="12.75" hidden="1">
      <c r="A106" s="390">
        <v>2</v>
      </c>
      <c r="B106" s="243"/>
      <c r="C106" s="390"/>
      <c r="D106" s="18"/>
      <c r="E106" s="103"/>
      <c r="F106" s="232"/>
      <c r="H106" s="18"/>
      <c r="I106" s="103"/>
      <c r="J106" s="232"/>
      <c r="L106" s="18"/>
      <c r="M106" s="103"/>
      <c r="N106" s="232"/>
    </row>
    <row r="107" spans="1:14" ht="13.5" hidden="1" thickBot="1">
      <c r="A107" s="390">
        <v>2</v>
      </c>
      <c r="B107" s="243"/>
      <c r="C107" s="390"/>
      <c r="D107" s="18"/>
      <c r="E107" s="103" t="s">
        <v>381</v>
      </c>
      <c r="F107" s="131">
        <v>0</v>
      </c>
      <c r="H107" s="18"/>
      <c r="I107" s="103" t="s">
        <v>381</v>
      </c>
      <c r="J107" s="131">
        <v>0</v>
      </c>
      <c r="L107" s="18"/>
      <c r="M107" s="103" t="s">
        <v>381</v>
      </c>
      <c r="N107" s="131">
        <v>0</v>
      </c>
    </row>
    <row r="108" spans="1:14" ht="16.5" hidden="1" thickBot="1">
      <c r="A108" s="390">
        <v>2</v>
      </c>
      <c r="B108" s="243"/>
      <c r="C108" s="390"/>
      <c r="D108" s="104"/>
      <c r="E108" s="105" t="s">
        <v>21</v>
      </c>
      <c r="F108" s="106">
        <f>SUM(F98:F107)</f>
        <v>0</v>
      </c>
      <c r="H108" s="104"/>
      <c r="I108" s="105" t="s">
        <v>21</v>
      </c>
      <c r="J108" s="106">
        <f>SUM(J98:J107)</f>
        <v>0</v>
      </c>
      <c r="L108" s="104"/>
      <c r="M108" s="105" t="s">
        <v>21</v>
      </c>
      <c r="N108" s="106">
        <f>SUM(N98:N107)</f>
        <v>0</v>
      </c>
    </row>
    <row r="109" spans="1:14" ht="12.75" hidden="1">
      <c r="A109" s="390">
        <v>2</v>
      </c>
      <c r="B109" s="243"/>
      <c r="C109" s="390"/>
      <c r="D109" s="18">
        <v>703</v>
      </c>
      <c r="E109" s="107" t="s">
        <v>363</v>
      </c>
      <c r="F109" s="108">
        <f>(F108-F107)*0.0025</f>
        <v>0</v>
      </c>
      <c r="H109" s="18">
        <v>703</v>
      </c>
      <c r="I109" s="107" t="s">
        <v>363</v>
      </c>
      <c r="J109" s="108">
        <f>(J108-J107)*0.0025</f>
        <v>0</v>
      </c>
      <c r="L109" s="18">
        <v>703</v>
      </c>
      <c r="M109" s="107" t="s">
        <v>363</v>
      </c>
      <c r="N109" s="108">
        <f>(N108-N107)*0.0025</f>
        <v>0</v>
      </c>
    </row>
    <row r="110" spans="1:14" ht="12.75" hidden="1">
      <c r="A110" s="390">
        <v>2</v>
      </c>
      <c r="B110" s="243"/>
      <c r="C110" s="390"/>
      <c r="D110" s="19">
        <v>707</v>
      </c>
      <c r="E110" s="109" t="s">
        <v>23</v>
      </c>
      <c r="F110" s="17">
        <f>(F108-F107)*0.03</f>
        <v>0</v>
      </c>
      <c r="H110" s="19">
        <v>707</v>
      </c>
      <c r="I110" s="109" t="s">
        <v>23</v>
      </c>
      <c r="J110" s="17">
        <f>(J108-J107)*0.03</f>
        <v>0</v>
      </c>
      <c r="L110" s="19">
        <v>707</v>
      </c>
      <c r="M110" s="109" t="s">
        <v>23</v>
      </c>
      <c r="N110" s="17">
        <f>(N108-N107)*0.03</f>
        <v>0</v>
      </c>
    </row>
    <row r="111" spans="1:14" ht="12.75" hidden="1">
      <c r="A111" s="390">
        <v>2</v>
      </c>
      <c r="B111" s="243"/>
      <c r="C111" s="390"/>
      <c r="D111" s="19">
        <v>709</v>
      </c>
      <c r="E111" s="109" t="s">
        <v>24</v>
      </c>
      <c r="F111" s="17">
        <f>(F108-F107)*0.0213</f>
        <v>0</v>
      </c>
      <c r="H111" s="19">
        <v>709</v>
      </c>
      <c r="I111" s="109" t="s">
        <v>24</v>
      </c>
      <c r="J111" s="17">
        <f>(J108-J107)*0.0213</f>
        <v>0</v>
      </c>
      <c r="L111" s="19">
        <v>709</v>
      </c>
      <c r="M111" s="109" t="s">
        <v>24</v>
      </c>
      <c r="N111" s="17">
        <f>(N108-N107)*0.0213</f>
        <v>0</v>
      </c>
    </row>
    <row r="112" spans="1:14" ht="12.75" hidden="1">
      <c r="A112" s="390">
        <v>2</v>
      </c>
      <c r="B112" s="243"/>
      <c r="C112" s="390"/>
      <c r="D112" s="16">
        <v>710</v>
      </c>
      <c r="E112" s="109" t="s">
        <v>25</v>
      </c>
      <c r="F112" s="17">
        <f>(F108-F107)*0.00754</f>
        <v>0</v>
      </c>
      <c r="H112" s="16">
        <v>710</v>
      </c>
      <c r="I112" s="109" t="s">
        <v>25</v>
      </c>
      <c r="J112" s="17">
        <f>(J108-J107)*0.00754</f>
        <v>0</v>
      </c>
      <c r="L112" s="16">
        <v>710</v>
      </c>
      <c r="M112" s="109" t="s">
        <v>25</v>
      </c>
      <c r="N112" s="17">
        <f>(N108-N107)*0.00754</f>
        <v>0</v>
      </c>
    </row>
    <row r="113" spans="1:14" ht="12.75" hidden="1">
      <c r="A113" s="390">
        <v>2</v>
      </c>
      <c r="B113" s="243"/>
      <c r="C113" s="390"/>
      <c r="D113" s="16">
        <v>713</v>
      </c>
      <c r="E113" s="109" t="s">
        <v>26</v>
      </c>
      <c r="F113" s="17">
        <f>(F108-F107)*0.007</f>
        <v>0</v>
      </c>
      <c r="H113" s="16">
        <v>713</v>
      </c>
      <c r="I113" s="109" t="s">
        <v>26</v>
      </c>
      <c r="J113" s="17">
        <f>(J108-J107)*0.007</f>
        <v>0</v>
      </c>
      <c r="L113" s="16">
        <v>713</v>
      </c>
      <c r="M113" s="109" t="s">
        <v>26</v>
      </c>
      <c r="N113" s="17">
        <f>(N108-N107)*0.007</f>
        <v>0</v>
      </c>
    </row>
    <row r="114" spans="1:14" ht="13.5" hidden="1" thickBot="1">
      <c r="A114" s="390">
        <v>2</v>
      </c>
      <c r="B114" s="243"/>
      <c r="C114" s="390"/>
      <c r="D114" s="16"/>
      <c r="E114" s="110" t="s">
        <v>27</v>
      </c>
      <c r="F114" s="50">
        <v>0</v>
      </c>
      <c r="H114" s="16"/>
      <c r="I114" s="110" t="s">
        <v>27</v>
      </c>
      <c r="J114" s="50">
        <v>0</v>
      </c>
      <c r="L114" s="16"/>
      <c r="M114" s="110" t="s">
        <v>27</v>
      </c>
      <c r="N114" s="50">
        <v>0</v>
      </c>
    </row>
    <row r="115" spans="1:14" ht="16.5" hidden="1" thickBot="1">
      <c r="A115" s="390">
        <v>2</v>
      </c>
      <c r="B115" s="243"/>
      <c r="C115" s="390"/>
      <c r="D115" s="111"/>
      <c r="E115" s="105" t="s">
        <v>28</v>
      </c>
      <c r="F115" s="106">
        <f>SUM(F109:F114)</f>
        <v>0</v>
      </c>
      <c r="H115" s="111"/>
      <c r="I115" s="105" t="s">
        <v>28</v>
      </c>
      <c r="J115" s="106">
        <f>SUM(J109:J114)</f>
        <v>0</v>
      </c>
      <c r="L115" s="111"/>
      <c r="M115" s="105" t="s">
        <v>28</v>
      </c>
      <c r="N115" s="106">
        <f>SUM(N109:N114)</f>
        <v>0</v>
      </c>
    </row>
    <row r="116" spans="1:14" ht="13.5" hidden="1" thickBot="1">
      <c r="A116" s="390">
        <v>2</v>
      </c>
      <c r="B116" s="243"/>
      <c r="C116" s="390"/>
      <c r="D116" s="112"/>
      <c r="E116" s="113"/>
      <c r="F116" s="114"/>
      <c r="H116" s="112"/>
      <c r="I116" s="113"/>
      <c r="J116" s="114"/>
      <c r="L116" s="112"/>
      <c r="M116" s="113"/>
      <c r="N116" s="114"/>
    </row>
    <row r="117" spans="1:14" ht="16.5" hidden="1" thickBot="1">
      <c r="A117" s="390">
        <v>2</v>
      </c>
      <c r="B117" s="249"/>
      <c r="C117" s="390"/>
      <c r="D117" s="115"/>
      <c r="E117" s="116" t="s">
        <v>29</v>
      </c>
      <c r="F117" s="117">
        <f>F108-F115</f>
        <v>0</v>
      </c>
      <c r="H117" s="115"/>
      <c r="I117" s="116" t="s">
        <v>29</v>
      </c>
      <c r="J117" s="117">
        <f>J108-J115</f>
        <v>0</v>
      </c>
      <c r="L117" s="115"/>
      <c r="M117" s="116" t="s">
        <v>29</v>
      </c>
      <c r="N117" s="117">
        <f>N108-N115</f>
        <v>0</v>
      </c>
    </row>
    <row r="118" spans="1:17" s="366" customFormat="1" ht="15.75" hidden="1">
      <c r="A118" s="390">
        <v>2</v>
      </c>
      <c r="B118" s="243"/>
      <c r="C118" s="243"/>
      <c r="D118" s="2"/>
      <c r="E118" s="367"/>
      <c r="F118" s="2"/>
      <c r="G118" s="200"/>
      <c r="H118" s="200"/>
      <c r="I118" s="367"/>
      <c r="J118" s="2"/>
      <c r="K118" s="200"/>
      <c r="L118" s="2"/>
      <c r="M118" s="367"/>
      <c r="N118" s="2"/>
      <c r="O118" s="2"/>
      <c r="P118" s="2"/>
      <c r="Q118" s="2"/>
    </row>
    <row r="119" spans="1:16" s="366" customFormat="1" ht="15.75" hidden="1">
      <c r="A119" s="390">
        <v>2</v>
      </c>
      <c r="B119" s="243"/>
      <c r="C119" s="243"/>
      <c r="D119" s="4"/>
      <c r="E119" s="281"/>
      <c r="F119" s="286"/>
      <c r="G119" s="2"/>
      <c r="H119" s="4"/>
      <c r="I119" s="298" t="s">
        <v>476</v>
      </c>
      <c r="J119" s="299">
        <f>J117-F117</f>
        <v>0</v>
      </c>
      <c r="K119"/>
      <c r="L119"/>
      <c r="M119" s="298" t="s">
        <v>474</v>
      </c>
      <c r="N119" s="299">
        <f>N117-J117</f>
        <v>0</v>
      </c>
      <c r="O119" s="377" t="s">
        <v>472</v>
      </c>
      <c r="P119" s="378">
        <f>N117-F117</f>
        <v>0</v>
      </c>
    </row>
    <row r="120" spans="1:16" ht="15.75" hidden="1">
      <c r="A120" s="390">
        <v>2</v>
      </c>
      <c r="B120" s="249"/>
      <c r="C120" s="249"/>
      <c r="D120" s="4"/>
      <c r="E120" s="281"/>
      <c r="F120" s="286"/>
      <c r="G120" s="11"/>
      <c r="H120" s="4"/>
      <c r="I120" s="298" t="s">
        <v>477</v>
      </c>
      <c r="J120" s="300" t="e">
        <f>J119/F117</f>
        <v>#DIV/0!</v>
      </c>
      <c r="M120" s="298" t="s">
        <v>475</v>
      </c>
      <c r="N120" s="300" t="e">
        <f>N119/J117</f>
        <v>#DIV/0!</v>
      </c>
      <c r="O120" s="377" t="s">
        <v>473</v>
      </c>
      <c r="P120" s="379" t="e">
        <f>P119/F117</f>
        <v>#DIV/0!</v>
      </c>
    </row>
    <row r="121" spans="1:16" ht="15.75" hidden="1">
      <c r="A121" s="390">
        <v>2</v>
      </c>
      <c r="B121" s="249"/>
      <c r="C121" s="249"/>
      <c r="D121" s="4"/>
      <c r="E121" s="281"/>
      <c r="F121" s="286"/>
      <c r="G121" s="11"/>
      <c r="H121" s="4"/>
      <c r="I121" s="384"/>
      <c r="J121" s="385"/>
      <c r="K121" s="358"/>
      <c r="L121" s="370"/>
      <c r="M121" s="384"/>
      <c r="N121" s="385"/>
      <c r="O121" s="386"/>
      <c r="P121" s="387"/>
    </row>
    <row r="122" spans="1:17" ht="15.75">
      <c r="A122" s="390"/>
      <c r="B122" s="249"/>
      <c r="C122" s="393"/>
      <c r="D122" s="394"/>
      <c r="E122" s="395"/>
      <c r="F122" s="249"/>
      <c r="G122" s="393"/>
      <c r="H122" s="396"/>
      <c r="I122" s="397"/>
      <c r="J122" s="397"/>
      <c r="K122" s="397"/>
      <c r="L122" s="397"/>
      <c r="M122" s="249"/>
      <c r="N122" s="392"/>
      <c r="O122" s="243"/>
      <c r="P122" s="78"/>
      <c r="Q122" s="78"/>
    </row>
    <row r="123" ht="12.75" hidden="1"/>
    <row r="124" spans="3:16" s="364" customFormat="1" ht="15.75" hidden="1">
      <c r="C124" s="359"/>
      <c r="F124" s="223"/>
      <c r="G124" s="155"/>
      <c r="H124" s="363"/>
      <c r="I124" s="79"/>
      <c r="J124" s="363"/>
      <c r="K124" s="365"/>
      <c r="L124" s="12"/>
      <c r="M124" s="155"/>
      <c r="N124" s="155"/>
      <c r="O124" s="155"/>
      <c r="P124" s="155"/>
    </row>
    <row r="125" s="364" customFormat="1" ht="12.75" hidden="1"/>
    <row r="126" s="364" customFormat="1" ht="12.75" hidden="1"/>
    <row r="127" spans="1:20" ht="16.5" hidden="1" thickBot="1">
      <c r="A127">
        <v>3</v>
      </c>
      <c r="F127" t="s">
        <v>435</v>
      </c>
      <c r="G127" s="11" t="s">
        <v>439</v>
      </c>
      <c r="H127" s="11" t="s">
        <v>440</v>
      </c>
      <c r="I127" s="152" t="s">
        <v>441</v>
      </c>
      <c r="J127" s="152" t="s">
        <v>442</v>
      </c>
      <c r="K127" s="152" t="s">
        <v>443</v>
      </c>
      <c r="L127" s="152" t="s">
        <v>444</v>
      </c>
      <c r="M127" s="152" t="s">
        <v>445</v>
      </c>
      <c r="N127" s="152" t="s">
        <v>446</v>
      </c>
      <c r="O127" s="173" t="s">
        <v>447</v>
      </c>
      <c r="P127" s="173">
        <v>1</v>
      </c>
      <c r="Q127" s="173">
        <v>2</v>
      </c>
      <c r="R127" s="173">
        <v>3</v>
      </c>
      <c r="S127" s="173">
        <v>4</v>
      </c>
      <c r="T127" s="173">
        <v>5</v>
      </c>
    </row>
    <row r="128" spans="1:20" ht="16.5" hidden="1" thickBot="1">
      <c r="A128">
        <v>3</v>
      </c>
      <c r="E128" s="137">
        <v>0</v>
      </c>
      <c r="F128" s="154">
        <f>IF(puntosproljorvarios3&lt;620,T128,O128)</f>
        <v>80</v>
      </c>
      <c r="G128" s="154">
        <v>80</v>
      </c>
      <c r="H128" s="307">
        <v>80</v>
      </c>
      <c r="I128" s="174">
        <v>0</v>
      </c>
      <c r="J128" s="175">
        <v>0</v>
      </c>
      <c r="K128" s="176">
        <v>0</v>
      </c>
      <c r="L128" s="308">
        <v>0</v>
      </c>
      <c r="M128" s="309">
        <v>80</v>
      </c>
      <c r="N128" s="310">
        <v>80</v>
      </c>
      <c r="O128" s="177">
        <f aca="true" t="shared" si="12" ref="O128:O139">IF(punbasjubvarios3&gt;971,N128,M128)</f>
        <v>80</v>
      </c>
      <c r="P128" s="177">
        <f aca="true" t="shared" si="13" ref="P128:P139">IF(punbasjubvarios3&lt;972,G128,H128)</f>
        <v>80</v>
      </c>
      <c r="Q128" s="177">
        <f aca="true" t="shared" si="14" ref="Q128:Q139">IF(punbasjubvarios3&lt;1170,P128,I128)</f>
        <v>80</v>
      </c>
      <c r="R128" s="177">
        <f aca="true" t="shared" si="15" ref="R128:R139">IF(punbasjubvarios3&lt;1401,Q128,J128)</f>
        <v>80</v>
      </c>
      <c r="S128" s="177">
        <f aca="true" t="shared" si="16" ref="S128:S138">IF(punbasjubvarios3&lt;1943,R128,K128)</f>
        <v>80</v>
      </c>
      <c r="T128" s="177">
        <f aca="true" t="shared" si="17" ref="T128:T139">IF(punbasjubvarios3&lt;=2220,S128,L128)</f>
        <v>80</v>
      </c>
    </row>
    <row r="129" spans="1:20" ht="16.5" hidden="1" thickBot="1">
      <c r="A129">
        <v>3</v>
      </c>
      <c r="E129" s="138">
        <v>0.1</v>
      </c>
      <c r="F129" s="154">
        <f>IF(puntosproljorvarios3&lt;620,T129,O129)</f>
        <v>90</v>
      </c>
      <c r="G129" s="154">
        <v>90</v>
      </c>
      <c r="H129" s="312">
        <v>90</v>
      </c>
      <c r="I129" s="174">
        <v>0</v>
      </c>
      <c r="J129" s="175">
        <v>0</v>
      </c>
      <c r="K129" s="176">
        <v>0</v>
      </c>
      <c r="L129" s="308">
        <v>0</v>
      </c>
      <c r="M129" s="309">
        <v>90</v>
      </c>
      <c r="N129" s="310">
        <v>90</v>
      </c>
      <c r="O129" s="177">
        <f t="shared" si="12"/>
        <v>90</v>
      </c>
      <c r="P129" s="177">
        <f t="shared" si="13"/>
        <v>90</v>
      </c>
      <c r="Q129" s="177">
        <f t="shared" si="14"/>
        <v>90</v>
      </c>
      <c r="R129" s="177">
        <f t="shared" si="15"/>
        <v>90</v>
      </c>
      <c r="S129" s="177">
        <f t="shared" si="16"/>
        <v>90</v>
      </c>
      <c r="T129" s="177">
        <f t="shared" si="17"/>
        <v>90</v>
      </c>
    </row>
    <row r="130" spans="1:20" ht="16.5" hidden="1" thickBot="1">
      <c r="A130">
        <v>3</v>
      </c>
      <c r="E130" s="139">
        <v>0.15</v>
      </c>
      <c r="F130" s="154">
        <f>IF(puntosproljorvarios3&lt;620,T130,O130)</f>
        <v>180</v>
      </c>
      <c r="G130" s="154">
        <v>180</v>
      </c>
      <c r="H130" s="312">
        <v>180</v>
      </c>
      <c r="I130" s="178">
        <v>240</v>
      </c>
      <c r="J130" s="179">
        <v>193</v>
      </c>
      <c r="K130" s="180">
        <v>180</v>
      </c>
      <c r="L130" s="308">
        <v>0</v>
      </c>
      <c r="M130" s="309">
        <v>220</v>
      </c>
      <c r="N130" s="310">
        <v>220</v>
      </c>
      <c r="O130" s="177">
        <f t="shared" si="12"/>
        <v>220</v>
      </c>
      <c r="P130" s="177">
        <f t="shared" si="13"/>
        <v>180</v>
      </c>
      <c r="Q130" s="177">
        <f t="shared" si="14"/>
        <v>180</v>
      </c>
      <c r="R130" s="177">
        <f t="shared" si="15"/>
        <v>180</v>
      </c>
      <c r="S130" s="177">
        <f t="shared" si="16"/>
        <v>180</v>
      </c>
      <c r="T130" s="177">
        <f t="shared" si="17"/>
        <v>180</v>
      </c>
    </row>
    <row r="131" spans="1:20" ht="16.5" hidden="1" thickBot="1">
      <c r="A131">
        <v>3</v>
      </c>
      <c r="E131" s="139">
        <v>0.3</v>
      </c>
      <c r="F131" s="154">
        <f>IF(puntosproljorvarios3&lt;620,T131,O131)</f>
        <v>225</v>
      </c>
      <c r="G131" s="154">
        <v>225</v>
      </c>
      <c r="H131" s="312">
        <v>195</v>
      </c>
      <c r="I131" s="178">
        <v>240</v>
      </c>
      <c r="J131" s="179">
        <v>193</v>
      </c>
      <c r="K131" s="180">
        <v>180</v>
      </c>
      <c r="L131" s="308">
        <v>0</v>
      </c>
      <c r="M131" s="309">
        <v>380</v>
      </c>
      <c r="N131" s="310">
        <v>350</v>
      </c>
      <c r="O131" s="177">
        <f t="shared" si="12"/>
        <v>380</v>
      </c>
      <c r="P131" s="177">
        <f t="shared" si="13"/>
        <v>225</v>
      </c>
      <c r="Q131" s="177">
        <f t="shared" si="14"/>
        <v>225</v>
      </c>
      <c r="R131" s="177">
        <f t="shared" si="15"/>
        <v>225</v>
      </c>
      <c r="S131" s="177">
        <f t="shared" si="16"/>
        <v>225</v>
      </c>
      <c r="T131" s="177">
        <f t="shared" si="17"/>
        <v>225</v>
      </c>
    </row>
    <row r="132" spans="1:20" ht="16.5" hidden="1" thickBot="1">
      <c r="A132">
        <v>3</v>
      </c>
      <c r="E132" s="139">
        <v>0.4</v>
      </c>
      <c r="F132" s="154">
        <f>IF(puntosproljorvarios3&lt;620,T132,O132)</f>
        <v>250</v>
      </c>
      <c r="G132" s="154">
        <v>250</v>
      </c>
      <c r="H132" s="312">
        <v>210</v>
      </c>
      <c r="I132" s="178">
        <v>250</v>
      </c>
      <c r="J132" s="179">
        <v>200</v>
      </c>
      <c r="K132" s="180">
        <v>180</v>
      </c>
      <c r="L132" s="308">
        <v>140</v>
      </c>
      <c r="M132" s="309">
        <v>440</v>
      </c>
      <c r="N132" s="310">
        <v>400</v>
      </c>
      <c r="O132" s="177">
        <f t="shared" si="12"/>
        <v>440</v>
      </c>
      <c r="P132" s="177">
        <f t="shared" si="13"/>
        <v>250</v>
      </c>
      <c r="Q132" s="177">
        <f t="shared" si="14"/>
        <v>250</v>
      </c>
      <c r="R132" s="177">
        <f t="shared" si="15"/>
        <v>250</v>
      </c>
      <c r="S132" s="177">
        <f t="shared" si="16"/>
        <v>250</v>
      </c>
      <c r="T132" s="177">
        <f t="shared" si="17"/>
        <v>250</v>
      </c>
    </row>
    <row r="133" spans="1:20" ht="16.5" hidden="1" thickBot="1">
      <c r="A133">
        <v>3</v>
      </c>
      <c r="E133" s="139">
        <v>0.5</v>
      </c>
      <c r="F133" s="154">
        <f>IF(puntosproljorvarios3&lt;620,T133,O133)</f>
        <v>270</v>
      </c>
      <c r="G133" s="154">
        <v>270</v>
      </c>
      <c r="H133" s="312">
        <v>230</v>
      </c>
      <c r="I133" s="178">
        <v>250</v>
      </c>
      <c r="J133" s="157">
        <v>200</v>
      </c>
      <c r="K133" s="180">
        <v>180</v>
      </c>
      <c r="L133" s="308">
        <v>140</v>
      </c>
      <c r="M133" s="309">
        <v>475</v>
      </c>
      <c r="N133" s="310">
        <v>435</v>
      </c>
      <c r="O133" s="177">
        <f t="shared" si="12"/>
        <v>475</v>
      </c>
      <c r="P133" s="177">
        <f t="shared" si="13"/>
        <v>270</v>
      </c>
      <c r="Q133" s="177">
        <f t="shared" si="14"/>
        <v>270</v>
      </c>
      <c r="R133" s="177">
        <f t="shared" si="15"/>
        <v>270</v>
      </c>
      <c r="S133" s="177">
        <f t="shared" si="16"/>
        <v>270</v>
      </c>
      <c r="T133" s="177">
        <f t="shared" si="17"/>
        <v>270</v>
      </c>
    </row>
    <row r="134" spans="1:20" ht="16.5" hidden="1" thickBot="1">
      <c r="A134">
        <v>3</v>
      </c>
      <c r="E134" s="139">
        <v>0.6</v>
      </c>
      <c r="F134" s="154">
        <f>IF(puntosproljorvarios3&lt;620,T134,O134)</f>
        <v>320</v>
      </c>
      <c r="G134" s="154">
        <v>320</v>
      </c>
      <c r="H134" s="312">
        <v>260</v>
      </c>
      <c r="I134" s="178">
        <v>260</v>
      </c>
      <c r="J134" s="157">
        <v>203</v>
      </c>
      <c r="K134" s="180">
        <v>190</v>
      </c>
      <c r="L134" s="308">
        <v>160</v>
      </c>
      <c r="M134" s="309">
        <v>510</v>
      </c>
      <c r="N134" s="310">
        <v>450</v>
      </c>
      <c r="O134" s="177">
        <f t="shared" si="12"/>
        <v>510</v>
      </c>
      <c r="P134" s="177">
        <f t="shared" si="13"/>
        <v>320</v>
      </c>
      <c r="Q134" s="177">
        <f t="shared" si="14"/>
        <v>320</v>
      </c>
      <c r="R134" s="177">
        <f t="shared" si="15"/>
        <v>320</v>
      </c>
      <c r="S134" s="177">
        <f t="shared" si="16"/>
        <v>320</v>
      </c>
      <c r="T134" s="177">
        <f t="shared" si="17"/>
        <v>320</v>
      </c>
    </row>
    <row r="135" spans="1:20" ht="16.5" hidden="1" thickBot="1">
      <c r="A135">
        <v>3</v>
      </c>
      <c r="E135" s="139">
        <v>0.7</v>
      </c>
      <c r="F135" s="154">
        <f>IF(puntosproljorvarios3&lt;620,T135,O135)</f>
        <v>345</v>
      </c>
      <c r="G135" s="154">
        <v>345</v>
      </c>
      <c r="H135" s="312">
        <v>285</v>
      </c>
      <c r="I135" s="178">
        <v>365</v>
      </c>
      <c r="J135" s="157">
        <v>230</v>
      </c>
      <c r="K135" s="180">
        <v>190</v>
      </c>
      <c r="L135" s="308">
        <v>160</v>
      </c>
      <c r="M135" s="309">
        <v>525</v>
      </c>
      <c r="N135" s="310">
        <v>465</v>
      </c>
      <c r="O135" s="177">
        <f t="shared" si="12"/>
        <v>525</v>
      </c>
      <c r="P135" s="177">
        <f t="shared" si="13"/>
        <v>345</v>
      </c>
      <c r="Q135" s="177">
        <f t="shared" si="14"/>
        <v>345</v>
      </c>
      <c r="R135" s="177">
        <f t="shared" si="15"/>
        <v>345</v>
      </c>
      <c r="S135" s="177">
        <f t="shared" si="16"/>
        <v>345</v>
      </c>
      <c r="T135" s="177">
        <f t="shared" si="17"/>
        <v>345</v>
      </c>
    </row>
    <row r="136" spans="1:20" ht="16.5" hidden="1" thickBot="1">
      <c r="A136">
        <v>3</v>
      </c>
      <c r="E136" s="139">
        <v>0.8</v>
      </c>
      <c r="F136" s="154">
        <f>IF(puntosproljorvarios3&lt;620,T136,O136)</f>
        <v>425</v>
      </c>
      <c r="G136" s="154">
        <v>425</v>
      </c>
      <c r="H136" s="312">
        <v>345</v>
      </c>
      <c r="I136" s="156">
        <v>395</v>
      </c>
      <c r="J136" s="157">
        <v>340</v>
      </c>
      <c r="K136" s="181">
        <v>280</v>
      </c>
      <c r="L136" s="314">
        <v>180</v>
      </c>
      <c r="M136" s="309">
        <v>555</v>
      </c>
      <c r="N136" s="310">
        <v>475</v>
      </c>
      <c r="O136" s="177">
        <f t="shared" si="12"/>
        <v>555</v>
      </c>
      <c r="P136" s="177">
        <f t="shared" si="13"/>
        <v>425</v>
      </c>
      <c r="Q136" s="177">
        <f t="shared" si="14"/>
        <v>425</v>
      </c>
      <c r="R136" s="177">
        <f t="shared" si="15"/>
        <v>425</v>
      </c>
      <c r="S136" s="177">
        <f t="shared" si="16"/>
        <v>425</v>
      </c>
      <c r="T136" s="177">
        <f t="shared" si="17"/>
        <v>425</v>
      </c>
    </row>
    <row r="137" spans="1:20" ht="16.5" hidden="1" thickBot="1">
      <c r="A137">
        <v>3</v>
      </c>
      <c r="E137" s="139">
        <v>1</v>
      </c>
      <c r="F137" s="154">
        <f>IF(puntosproljorvarios3&lt;620,T137,O137)</f>
        <v>535</v>
      </c>
      <c r="G137" s="154">
        <v>535</v>
      </c>
      <c r="H137" s="312">
        <v>435</v>
      </c>
      <c r="I137" s="156">
        <v>410</v>
      </c>
      <c r="J137" s="157">
        <v>330</v>
      </c>
      <c r="K137" s="181">
        <v>310</v>
      </c>
      <c r="L137" s="314">
        <v>180</v>
      </c>
      <c r="M137" s="309">
        <v>590</v>
      </c>
      <c r="N137" s="310">
        <v>490</v>
      </c>
      <c r="O137" s="177">
        <f t="shared" si="12"/>
        <v>590</v>
      </c>
      <c r="P137" s="177">
        <f t="shared" si="13"/>
        <v>535</v>
      </c>
      <c r="Q137" s="177">
        <f t="shared" si="14"/>
        <v>535</v>
      </c>
      <c r="R137" s="177">
        <f t="shared" si="15"/>
        <v>535</v>
      </c>
      <c r="S137" s="177">
        <f t="shared" si="16"/>
        <v>535</v>
      </c>
      <c r="T137" s="177">
        <f t="shared" si="17"/>
        <v>535</v>
      </c>
    </row>
    <row r="138" spans="1:20" ht="16.5" hidden="1" thickBot="1">
      <c r="A138">
        <v>3</v>
      </c>
      <c r="E138" s="139">
        <v>1.1</v>
      </c>
      <c r="F138" s="154">
        <f>IF(puntosproljorvarios3&lt;620,T138,O138)</f>
        <v>605</v>
      </c>
      <c r="G138" s="154">
        <v>605</v>
      </c>
      <c r="H138" s="312">
        <v>495</v>
      </c>
      <c r="I138" s="156">
        <v>430</v>
      </c>
      <c r="J138" s="157">
        <v>330</v>
      </c>
      <c r="K138" s="181">
        <v>320</v>
      </c>
      <c r="L138" s="314">
        <v>190</v>
      </c>
      <c r="M138" s="309">
        <v>615</v>
      </c>
      <c r="N138" s="310">
        <v>505</v>
      </c>
      <c r="O138" s="177">
        <f t="shared" si="12"/>
        <v>615</v>
      </c>
      <c r="P138" s="177">
        <f t="shared" si="13"/>
        <v>605</v>
      </c>
      <c r="Q138" s="177">
        <f t="shared" si="14"/>
        <v>605</v>
      </c>
      <c r="R138" s="177">
        <f t="shared" si="15"/>
        <v>605</v>
      </c>
      <c r="S138" s="177">
        <f t="shared" si="16"/>
        <v>605</v>
      </c>
      <c r="T138" s="177">
        <f t="shared" si="17"/>
        <v>605</v>
      </c>
    </row>
    <row r="139" spans="1:20" ht="16.5" hidden="1" thickBot="1">
      <c r="A139">
        <v>3</v>
      </c>
      <c r="E139" s="140">
        <v>1.2</v>
      </c>
      <c r="F139" s="154">
        <f>IF(puntosproljorvarios3&lt;620,T139,O139)</f>
        <v>620</v>
      </c>
      <c r="G139" s="154">
        <v>620</v>
      </c>
      <c r="H139" s="312">
        <v>510</v>
      </c>
      <c r="I139" s="156">
        <v>480</v>
      </c>
      <c r="J139" s="157">
        <v>335</v>
      </c>
      <c r="K139" s="181">
        <v>330</v>
      </c>
      <c r="L139" s="314">
        <v>190</v>
      </c>
      <c r="M139" s="309">
        <v>620</v>
      </c>
      <c r="N139" s="310">
        <v>510</v>
      </c>
      <c r="O139" s="177">
        <f t="shared" si="12"/>
        <v>620</v>
      </c>
      <c r="P139" s="177">
        <f t="shared" si="13"/>
        <v>620</v>
      </c>
      <c r="Q139" s="177">
        <f t="shared" si="14"/>
        <v>620</v>
      </c>
      <c r="R139" s="177">
        <f t="shared" si="15"/>
        <v>620</v>
      </c>
      <c r="S139" s="177">
        <f>IF(punbasjubvarios1&lt;1943,R139,K139)</f>
        <v>620</v>
      </c>
      <c r="T139" s="177">
        <f t="shared" si="17"/>
        <v>620</v>
      </c>
    </row>
    <row r="140" spans="1:20" s="358" customFormat="1" ht="15.75" hidden="1">
      <c r="A140">
        <v>3</v>
      </c>
      <c r="E140" s="359"/>
      <c r="F140" s="223"/>
      <c r="G140" s="223"/>
      <c r="H140" s="360"/>
      <c r="I140" s="361"/>
      <c r="J140" s="361"/>
      <c r="K140" s="223"/>
      <c r="L140" s="12"/>
      <c r="M140" s="155"/>
      <c r="N140" s="155"/>
      <c r="O140" s="155"/>
      <c r="P140" s="155"/>
      <c r="Q140" s="155"/>
      <c r="R140" s="155"/>
      <c r="S140" s="155"/>
      <c r="T140" s="155"/>
    </row>
    <row r="141" spans="1:20" s="358" customFormat="1" ht="15.75" hidden="1">
      <c r="A141">
        <v>3</v>
      </c>
      <c r="E141" s="359"/>
      <c r="F141" s="223" t="s">
        <v>470</v>
      </c>
      <c r="G141" s="223">
        <f>LOOKUP(F157,porantvar3,cod06cargosvar3)</f>
        <v>620</v>
      </c>
      <c r="H141" s="360"/>
      <c r="I141" s="361"/>
      <c r="J141" s="361"/>
      <c r="K141" s="223"/>
      <c r="L141" s="12"/>
      <c r="M141" s="155"/>
      <c r="N141" s="155"/>
      <c r="O141" s="155"/>
      <c r="P141" s="155"/>
      <c r="Q141" s="155"/>
      <c r="R141" s="155"/>
      <c r="S141" s="155"/>
      <c r="T141" s="155"/>
    </row>
    <row r="142" s="364" customFormat="1" ht="12.75" hidden="1">
      <c r="A142">
        <v>3</v>
      </c>
    </row>
    <row r="143" ht="12.75" hidden="1">
      <c r="A143">
        <v>3</v>
      </c>
    </row>
    <row r="144" spans="1:15" ht="12.75">
      <c r="A144" s="402">
        <v>3</v>
      </c>
      <c r="B144" s="402"/>
      <c r="C144" s="402"/>
      <c r="D144" s="402"/>
      <c r="E144" s="402"/>
      <c r="F144" s="402"/>
      <c r="G144" s="402"/>
      <c r="H144" s="402"/>
      <c r="I144" s="402"/>
      <c r="J144" s="402"/>
      <c r="K144" s="402"/>
      <c r="L144" s="402"/>
      <c r="M144" s="402"/>
      <c r="N144" s="402"/>
      <c r="O144" s="402"/>
    </row>
    <row r="145" spans="1:17" ht="20.25">
      <c r="A145" s="402">
        <v>3</v>
      </c>
      <c r="B145" s="252"/>
      <c r="C145" s="63"/>
      <c r="D145" s="63"/>
      <c r="E145" s="90" t="s">
        <v>429</v>
      </c>
      <c r="F145" s="11"/>
      <c r="G145" s="11"/>
      <c r="H145" s="63"/>
      <c r="I145" s="63"/>
      <c r="J145" s="63"/>
      <c r="K145" s="63"/>
      <c r="L145" s="63"/>
      <c r="M145" s="63"/>
      <c r="N145" s="251"/>
      <c r="O145" s="410"/>
      <c r="P145" s="223"/>
      <c r="Q145" s="223"/>
    </row>
    <row r="146" spans="1:17" ht="12.75">
      <c r="A146" s="402">
        <v>3</v>
      </c>
      <c r="B146" s="252"/>
      <c r="C146" s="252"/>
      <c r="D146" s="252"/>
      <c r="E146" s="252"/>
      <c r="F146" s="252"/>
      <c r="G146" s="252"/>
      <c r="H146" s="404"/>
      <c r="I146" s="252"/>
      <c r="J146" s="252"/>
      <c r="K146" s="252"/>
      <c r="L146" s="252"/>
      <c r="M146" s="252"/>
      <c r="N146" s="251"/>
      <c r="O146" s="410"/>
      <c r="P146" s="223"/>
      <c r="Q146" s="223"/>
    </row>
    <row r="147" spans="1:17" ht="12.75">
      <c r="A147" s="402">
        <v>3</v>
      </c>
      <c r="B147" s="402"/>
      <c r="C147" s="402"/>
      <c r="D147" s="45" t="s">
        <v>52</v>
      </c>
      <c r="E147" s="45" t="s">
        <v>356</v>
      </c>
      <c r="F147" s="45" t="s">
        <v>357</v>
      </c>
      <c r="G147" s="45" t="s">
        <v>358</v>
      </c>
      <c r="H147" s="45" t="s">
        <v>359</v>
      </c>
      <c r="I147" s="112" t="s">
        <v>452</v>
      </c>
      <c r="J147" s="252"/>
      <c r="K147" s="252"/>
      <c r="L147" s="252"/>
      <c r="M147" s="252"/>
      <c r="N147" s="251"/>
      <c r="O147" s="410"/>
      <c r="P147" s="223"/>
      <c r="Q147" s="223"/>
    </row>
    <row r="148" spans="1:17" ht="16.5" thickBot="1">
      <c r="A148" s="402">
        <v>3</v>
      </c>
      <c r="B148" s="402"/>
      <c r="C148" s="402"/>
      <c r="D148" s="130">
        <v>749</v>
      </c>
      <c r="E148" s="91">
        <f>LOOKUP(D148,[0]!numerocargo,[0]!puntosbasicoscargo)</f>
        <v>971</v>
      </c>
      <c r="F148" s="91">
        <f>LOOKUP(D148,[0]!numerocargo,[0]!tardifcargo)</f>
        <v>0</v>
      </c>
      <c r="G148" s="91">
        <f>LOOKUP(D148,[0]!numerocargo,[0]!proljorcargo)</f>
        <v>0</v>
      </c>
      <c r="H148" s="91">
        <f>LOOKUP(D148,[0]!numerocargo,[0]!jorcomcargo)</f>
        <v>0</v>
      </c>
      <c r="I148" s="45">
        <f>LOOKUP(D148,Cargos!A3:A314,puntoscompbasico)</f>
        <v>170</v>
      </c>
      <c r="J148" s="252"/>
      <c r="K148" s="252"/>
      <c r="L148" s="252"/>
      <c r="M148" s="252"/>
      <c r="N148" s="251"/>
      <c r="O148" s="410"/>
      <c r="P148" s="223"/>
      <c r="Q148" s="223"/>
    </row>
    <row r="149" spans="1:17" ht="13.5" thickBot="1">
      <c r="A149" s="402">
        <v>3</v>
      </c>
      <c r="B149" s="402"/>
      <c r="C149" s="402"/>
      <c r="D149" s="92" t="s">
        <v>53</v>
      </c>
      <c r="E149" s="93" t="str">
        <f>LOOKUP(D148,[0]!numerocargo,[0]!nombrecargo)</f>
        <v> MAESTRO DE GRADO</v>
      </c>
      <c r="F149" s="43"/>
      <c r="G149" s="43"/>
      <c r="H149" s="66"/>
      <c r="I149" s="12"/>
      <c r="J149" s="252"/>
      <c r="K149" s="252"/>
      <c r="L149" s="252"/>
      <c r="M149" s="252"/>
      <c r="N149" s="251"/>
      <c r="O149" s="410"/>
      <c r="P149" s="223"/>
      <c r="Q149" s="223"/>
    </row>
    <row r="150" spans="1:17" ht="13.5" hidden="1" thickBot="1">
      <c r="A150" s="402">
        <v>3</v>
      </c>
      <c r="B150" s="402"/>
      <c r="C150" s="402"/>
      <c r="D150" s="224"/>
      <c r="E150" s="10"/>
      <c r="F150" s="2"/>
      <c r="G150" s="2"/>
      <c r="H150" s="2"/>
      <c r="I150" s="146" t="s">
        <v>384</v>
      </c>
      <c r="J150" s="416"/>
      <c r="K150" s="416"/>
      <c r="L150" s="416"/>
      <c r="M150" s="252"/>
      <c r="N150" s="252"/>
      <c r="O150" s="252"/>
      <c r="P150" s="11"/>
      <c r="Q150" s="11"/>
    </row>
    <row r="151" spans="1:17" ht="19.5" thickBot="1" thickTop="1">
      <c r="A151" s="402">
        <v>3</v>
      </c>
      <c r="B151" s="402"/>
      <c r="C151" s="402"/>
      <c r="D151" s="225" t="s">
        <v>373</v>
      </c>
      <c r="E151" s="136"/>
      <c r="F151" s="136"/>
      <c r="G151" s="136"/>
      <c r="H151" s="226">
        <v>0</v>
      </c>
      <c r="I151" s="147">
        <f>H151/120</f>
        <v>0</v>
      </c>
      <c r="J151" s="404"/>
      <c r="K151" s="404"/>
      <c r="L151" s="404"/>
      <c r="M151" s="252"/>
      <c r="N151" s="252"/>
      <c r="O151" s="252"/>
      <c r="P151" s="11"/>
      <c r="Q151" s="11"/>
    </row>
    <row r="152" spans="1:17" ht="17.25" hidden="1" thickBot="1" thickTop="1">
      <c r="A152" s="402">
        <v>3</v>
      </c>
      <c r="B152" s="403"/>
      <c r="C152" s="404"/>
      <c r="D152" s="2"/>
      <c r="E152" s="2"/>
      <c r="F152" s="227"/>
      <c r="G152" s="12"/>
      <c r="H152" s="10"/>
      <c r="I152" s="12"/>
      <c r="J152" s="252"/>
      <c r="K152" s="252"/>
      <c r="L152" s="252"/>
      <c r="M152" s="252"/>
      <c r="N152" s="252"/>
      <c r="O152" s="252"/>
      <c r="P152" s="11"/>
      <c r="Q152" s="11"/>
    </row>
    <row r="153" spans="1:17" ht="17.25" thickBot="1" thickTop="1">
      <c r="A153" s="402">
        <v>3</v>
      </c>
      <c r="B153" s="403"/>
      <c r="C153" s="402"/>
      <c r="D153" s="134" t="s">
        <v>386</v>
      </c>
      <c r="E153" s="150">
        <v>0</v>
      </c>
      <c r="F153" s="227"/>
      <c r="G153" s="12"/>
      <c r="H153" s="10"/>
      <c r="I153" s="252"/>
      <c r="J153" s="252"/>
      <c r="K153" s="252"/>
      <c r="L153" s="252"/>
      <c r="M153" s="252"/>
      <c r="N153" s="252"/>
      <c r="O153" s="252"/>
      <c r="P153" s="11"/>
      <c r="Q153" s="11"/>
    </row>
    <row r="154" spans="1:17" ht="13.5" hidden="1" thickTop="1">
      <c r="A154" s="402">
        <v>3</v>
      </c>
      <c r="B154" s="403"/>
      <c r="C154" s="404"/>
      <c r="D154" s="2"/>
      <c r="E154" s="2"/>
      <c r="F154" s="2"/>
      <c r="G154" s="12"/>
      <c r="H154" s="10"/>
      <c r="I154" s="252"/>
      <c r="J154" s="252"/>
      <c r="K154" s="252"/>
      <c r="L154" s="252"/>
      <c r="M154" s="252"/>
      <c r="N154" s="252"/>
      <c r="O154" s="252"/>
      <c r="P154" s="11"/>
      <c r="Q154" s="11"/>
    </row>
    <row r="155" spans="1:17" ht="13.5" hidden="1" thickBot="1">
      <c r="A155" s="402">
        <v>3</v>
      </c>
      <c r="B155" s="252"/>
      <c r="C155" s="63"/>
      <c r="D155" s="11"/>
      <c r="E155" s="11"/>
      <c r="F155" s="11"/>
      <c r="G155" s="11"/>
      <c r="H155" s="11"/>
      <c r="I155" s="63"/>
      <c r="J155" s="63"/>
      <c r="K155" s="63"/>
      <c r="L155" s="63"/>
      <c r="M155" s="63"/>
      <c r="N155" s="63"/>
      <c r="O155" s="63"/>
      <c r="P155" s="11"/>
      <c r="Q155" s="11"/>
    </row>
    <row r="156" spans="1:17" ht="17.25" thickBot="1" thickTop="1">
      <c r="A156" s="402">
        <v>3</v>
      </c>
      <c r="B156" s="252"/>
      <c r="C156" s="63"/>
      <c r="D156" s="94" t="s">
        <v>14</v>
      </c>
      <c r="E156" s="43"/>
      <c r="F156" s="95">
        <f>E148*indicesep07</f>
        <v>480.645</v>
      </c>
      <c r="G156" s="11"/>
      <c r="H156" s="11"/>
      <c r="I156" s="63"/>
      <c r="J156" s="63"/>
      <c r="K156" s="63"/>
      <c r="L156" s="63"/>
      <c r="M156" s="253"/>
      <c r="N156" s="253"/>
      <c r="O156" s="63"/>
      <c r="P156" s="11"/>
      <c r="Q156" s="11"/>
    </row>
    <row r="157" spans="1:17" ht="16.5" thickBot="1">
      <c r="A157" s="402">
        <v>3</v>
      </c>
      <c r="B157" s="252"/>
      <c r="C157" s="63"/>
      <c r="D157" s="94" t="s">
        <v>15</v>
      </c>
      <c r="E157" s="43"/>
      <c r="F157" s="133">
        <v>1.2</v>
      </c>
      <c r="G157" s="11" t="s">
        <v>16</v>
      </c>
      <c r="H157" s="11"/>
      <c r="I157" s="63"/>
      <c r="J157" s="63"/>
      <c r="K157" s="63"/>
      <c r="L157" s="63"/>
      <c r="M157" s="63"/>
      <c r="N157" s="253"/>
      <c r="O157" s="63"/>
      <c r="P157" s="11"/>
      <c r="Q157" s="11"/>
    </row>
    <row r="158" spans="1:17" ht="15.75">
      <c r="A158" s="402">
        <v>3</v>
      </c>
      <c r="B158" s="252"/>
      <c r="C158" s="63"/>
      <c r="D158" s="252"/>
      <c r="E158" s="252"/>
      <c r="F158" s="254"/>
      <c r="G158" s="63"/>
      <c r="H158" s="63"/>
      <c r="I158" s="63"/>
      <c r="J158" s="63"/>
      <c r="K158" s="63"/>
      <c r="L158" s="63"/>
      <c r="M158" s="63"/>
      <c r="N158" s="255"/>
      <c r="O158" s="63"/>
      <c r="P158" s="11"/>
      <c r="Q158" s="11"/>
    </row>
    <row r="159" spans="1:17" ht="18.75" thickBot="1">
      <c r="A159" s="402">
        <v>3</v>
      </c>
      <c r="B159" s="252"/>
      <c r="C159" s="63"/>
      <c r="D159" s="98" t="s">
        <v>17</v>
      </c>
      <c r="E159" s="98"/>
      <c r="F159" s="99">
        <f>E148</f>
        <v>971</v>
      </c>
      <c r="G159" s="11" t="s">
        <v>18</v>
      </c>
      <c r="H159" s="11"/>
      <c r="I159" s="96">
        <f>H148+G148</f>
        <v>0</v>
      </c>
      <c r="J159" s="96"/>
      <c r="K159" s="96"/>
      <c r="L159" s="96"/>
      <c r="M159" s="2"/>
      <c r="N159" s="11"/>
      <c r="O159" s="63"/>
      <c r="P159" s="11"/>
      <c r="Q159" s="11"/>
    </row>
    <row r="160" spans="1:17" ht="15.75">
      <c r="A160" s="402">
        <v>3</v>
      </c>
      <c r="B160" s="252"/>
      <c r="C160" s="63"/>
      <c r="D160" s="2"/>
      <c r="E160" s="2"/>
      <c r="F160" s="231"/>
      <c r="G160" s="11"/>
      <c r="H160" s="11"/>
      <c r="I160" s="2"/>
      <c r="J160" s="2"/>
      <c r="K160" s="2"/>
      <c r="L160" s="2"/>
      <c r="M160" s="100"/>
      <c r="N160" s="11"/>
      <c r="O160" s="63"/>
      <c r="P160" s="11"/>
      <c r="Q160" s="11"/>
    </row>
    <row r="161" spans="1:15" ht="15.75">
      <c r="A161" s="402">
        <v>3</v>
      </c>
      <c r="B161" s="252"/>
      <c r="C161" s="63"/>
      <c r="D161" s="11"/>
      <c r="E161" s="187" t="s">
        <v>455</v>
      </c>
      <c r="F161" s="11"/>
      <c r="G161" s="63"/>
      <c r="H161" s="11"/>
      <c r="I161" s="187" t="s">
        <v>463</v>
      </c>
      <c r="J161" s="11"/>
      <c r="K161" s="402"/>
      <c r="L161" s="11"/>
      <c r="M161" s="187" t="s">
        <v>478</v>
      </c>
      <c r="N161" s="11"/>
      <c r="O161" s="402"/>
    </row>
    <row r="162" spans="1:15" ht="12.75">
      <c r="A162" s="402">
        <v>3</v>
      </c>
      <c r="B162" s="252"/>
      <c r="C162" s="402"/>
      <c r="D162" s="18">
        <v>400</v>
      </c>
      <c r="E162" s="18" t="s">
        <v>19</v>
      </c>
      <c r="F162" s="101">
        <f>punbasjubvarios3*indicesep07*0.82*frac3</f>
        <v>0</v>
      </c>
      <c r="G162" s="402"/>
      <c r="H162" s="18">
        <v>400</v>
      </c>
      <c r="I162" s="18" t="s">
        <v>19</v>
      </c>
      <c r="J162" s="101">
        <f>punbasjubvarios3*indicemar08*0.82*frac3</f>
        <v>0</v>
      </c>
      <c r="K162" s="402"/>
      <c r="L162" s="18">
        <v>400</v>
      </c>
      <c r="M162" s="18" t="s">
        <v>19</v>
      </c>
      <c r="N162" s="101">
        <f>punbasjubvarios3*indicejul08*0.82*frac3</f>
        <v>0</v>
      </c>
      <c r="O162" s="402"/>
    </row>
    <row r="163" spans="1:15" ht="12.75">
      <c r="A163" s="402">
        <v>3</v>
      </c>
      <c r="B163" s="252"/>
      <c r="C163" s="402"/>
      <c r="D163" s="18" t="s">
        <v>468</v>
      </c>
      <c r="E163" s="18" t="s">
        <v>454</v>
      </c>
      <c r="F163" s="338">
        <v>0</v>
      </c>
      <c r="G163" s="402"/>
      <c r="H163" s="18" t="s">
        <v>468</v>
      </c>
      <c r="I163" s="18" t="s">
        <v>454</v>
      </c>
      <c r="J163" s="338">
        <f>compbasicovarios3*indicemar08*0.82*frac3</f>
        <v>0</v>
      </c>
      <c r="K163" s="402"/>
      <c r="L163" s="18" t="s">
        <v>468</v>
      </c>
      <c r="M163" s="18" t="s">
        <v>454</v>
      </c>
      <c r="N163" s="338">
        <f>compbasicovarios3*indicejul08*0.82*frac3</f>
        <v>0</v>
      </c>
      <c r="O163" s="402"/>
    </row>
    <row r="164" spans="1:15" ht="12.75" hidden="1">
      <c r="A164" s="402">
        <v>3</v>
      </c>
      <c r="B164" s="252"/>
      <c r="C164" s="402"/>
      <c r="D164" s="18">
        <v>404</v>
      </c>
      <c r="E164" s="18" t="s">
        <v>361</v>
      </c>
      <c r="F164" s="101">
        <f>F148*indicesep07*0.82*frac3</f>
        <v>0</v>
      </c>
      <c r="H164" s="18">
        <v>404</v>
      </c>
      <c r="I164" s="18" t="s">
        <v>361</v>
      </c>
      <c r="J164" s="101">
        <f>F148*indicemar08*0.82*frac1</f>
        <v>0</v>
      </c>
      <c r="L164" s="18">
        <v>404</v>
      </c>
      <c r="M164" s="18" t="s">
        <v>361</v>
      </c>
      <c r="N164" s="101">
        <f>F148*indicejul08*0.82*frac3</f>
        <v>0</v>
      </c>
      <c r="O164" s="402"/>
    </row>
    <row r="165" spans="1:15" ht="12.75" hidden="1">
      <c r="A165" s="402">
        <v>3</v>
      </c>
      <c r="B165" s="252"/>
      <c r="C165" s="402"/>
      <c r="D165" s="18">
        <v>406</v>
      </c>
      <c r="E165" s="18" t="s">
        <v>20</v>
      </c>
      <c r="F165" s="101">
        <f>(F162+F163+F164+F167)*F157</f>
        <v>0</v>
      </c>
      <c r="H165" s="18">
        <v>406</v>
      </c>
      <c r="I165" s="18" t="s">
        <v>20</v>
      </c>
      <c r="J165" s="101">
        <f>(J162+J163+J164+J167)*F157</f>
        <v>0</v>
      </c>
      <c r="L165" s="18">
        <v>406</v>
      </c>
      <c r="M165" s="18" t="s">
        <v>20</v>
      </c>
      <c r="N165" s="101">
        <f>(N162+N163+N164+N167)*F157</f>
        <v>0</v>
      </c>
      <c r="O165" s="402"/>
    </row>
    <row r="166" spans="1:15" ht="12.75" hidden="1">
      <c r="A166" s="402">
        <v>3</v>
      </c>
      <c r="B166" s="252"/>
      <c r="C166" s="402"/>
      <c r="D166" s="18">
        <v>408</v>
      </c>
      <c r="E166" s="18" t="s">
        <v>385</v>
      </c>
      <c r="F166" s="101">
        <f>(F162+F167+F163+F164)*E153</f>
        <v>0</v>
      </c>
      <c r="H166" s="18">
        <v>408</v>
      </c>
      <c r="I166" s="18" t="s">
        <v>385</v>
      </c>
      <c r="J166" s="101">
        <f>(J162+J163+J164+J167)*E153</f>
        <v>0</v>
      </c>
      <c r="L166" s="18">
        <v>408</v>
      </c>
      <c r="M166" s="18" t="s">
        <v>385</v>
      </c>
      <c r="N166" s="101">
        <f>(N162+N163+N164+N167)*E153</f>
        <v>0</v>
      </c>
      <c r="O166" s="402"/>
    </row>
    <row r="167" spans="1:15" ht="12.75" hidden="1">
      <c r="A167" s="402">
        <v>3</v>
      </c>
      <c r="B167" s="252"/>
      <c r="C167" s="402"/>
      <c r="D167" s="18">
        <v>416</v>
      </c>
      <c r="E167" s="102" t="s">
        <v>362</v>
      </c>
      <c r="F167" s="101">
        <f>puntosproljorvarios3*proljorsep07*0.82*frac3</f>
        <v>0</v>
      </c>
      <c r="H167" s="18">
        <v>416</v>
      </c>
      <c r="I167" s="102" t="s">
        <v>362</v>
      </c>
      <c r="J167" s="101">
        <f>puntosproljorvarios3*proljormar08*0.82*frac3</f>
        <v>0</v>
      </c>
      <c r="L167" s="18">
        <v>416</v>
      </c>
      <c r="M167" s="102" t="s">
        <v>362</v>
      </c>
      <c r="N167" s="101">
        <f>puntosproljorvarios3*proljorjul08*0.82*frac3</f>
        <v>0</v>
      </c>
      <c r="O167" s="402"/>
    </row>
    <row r="168" spans="1:15" ht="12.75" hidden="1">
      <c r="A168" s="402">
        <v>3</v>
      </c>
      <c r="B168" s="252"/>
      <c r="C168" s="402"/>
      <c r="D168" s="18">
        <v>432</v>
      </c>
      <c r="E168" s="18" t="s">
        <v>383</v>
      </c>
      <c r="F168" s="101">
        <f>cod06sep07varios3*0.82*frac3</f>
        <v>0</v>
      </c>
      <c r="H168" s="18">
        <v>432</v>
      </c>
      <c r="I168" s="18" t="s">
        <v>383</v>
      </c>
      <c r="J168" s="101">
        <f>cod06sep07varios3*0.82*frac3</f>
        <v>0</v>
      </c>
      <c r="L168" s="18">
        <v>432</v>
      </c>
      <c r="M168" s="18" t="s">
        <v>383</v>
      </c>
      <c r="N168" s="101">
        <f>cod06sep07varios3*0.82*frac3</f>
        <v>0</v>
      </c>
      <c r="O168" s="402"/>
    </row>
    <row r="169" spans="1:15" ht="12.75" hidden="1">
      <c r="A169" s="402">
        <v>3</v>
      </c>
      <c r="B169" s="252"/>
      <c r="C169" s="402"/>
      <c r="D169" s="18">
        <v>434</v>
      </c>
      <c r="E169" s="18" t="s">
        <v>360</v>
      </c>
      <c r="F169" s="101">
        <f>(F162+F163+F164+F165+F167+F168+F166)*0.07*0.95</f>
        <v>0</v>
      </c>
      <c r="H169" s="18">
        <v>434</v>
      </c>
      <c r="I169" s="18" t="s">
        <v>360</v>
      </c>
      <c r="J169" s="101">
        <f>(J162+J163+J164+J165+J167+J168+J166)*0.07*0.95</f>
        <v>0</v>
      </c>
      <c r="L169" s="18">
        <v>434</v>
      </c>
      <c r="M169" s="18" t="s">
        <v>360</v>
      </c>
      <c r="N169" s="101">
        <f>(N162+N163+N164+N165+N167+N168+N166)*0.07*0.95</f>
        <v>0</v>
      </c>
      <c r="O169" s="402"/>
    </row>
    <row r="170" spans="1:15" ht="12.75" hidden="1">
      <c r="A170" s="402">
        <v>3</v>
      </c>
      <c r="B170" s="252"/>
      <c r="C170" s="402"/>
      <c r="D170" s="18"/>
      <c r="E170" s="103"/>
      <c r="F170" s="232"/>
      <c r="H170" s="18"/>
      <c r="I170" s="103"/>
      <c r="J170" s="232"/>
      <c r="L170" s="18"/>
      <c r="M170" s="103"/>
      <c r="N170" s="232"/>
      <c r="O170" s="402"/>
    </row>
    <row r="171" spans="1:15" ht="13.5" hidden="1" thickBot="1">
      <c r="A171" s="402">
        <v>3</v>
      </c>
      <c r="B171" s="252"/>
      <c r="C171" s="402"/>
      <c r="D171" s="18"/>
      <c r="E171" s="103" t="s">
        <v>381</v>
      </c>
      <c r="F171" s="131">
        <v>0</v>
      </c>
      <c r="H171" s="18"/>
      <c r="I171" s="103" t="s">
        <v>381</v>
      </c>
      <c r="J171" s="131">
        <v>0</v>
      </c>
      <c r="L171" s="18"/>
      <c r="M171" s="103" t="s">
        <v>381</v>
      </c>
      <c r="N171" s="131">
        <v>0</v>
      </c>
      <c r="O171" s="402"/>
    </row>
    <row r="172" spans="1:15" ht="16.5" hidden="1" thickBot="1">
      <c r="A172" s="402">
        <v>3</v>
      </c>
      <c r="B172" s="252"/>
      <c r="C172" s="402"/>
      <c r="D172" s="104"/>
      <c r="E172" s="105" t="s">
        <v>21</v>
      </c>
      <c r="F172" s="106">
        <f>SUM(F162:F171)</f>
        <v>0</v>
      </c>
      <c r="H172" s="104"/>
      <c r="I172" s="105" t="s">
        <v>21</v>
      </c>
      <c r="J172" s="106">
        <f>SUM(J162:J171)</f>
        <v>0</v>
      </c>
      <c r="L172" s="104"/>
      <c r="M172" s="105" t="s">
        <v>21</v>
      </c>
      <c r="N172" s="106">
        <f>SUM(N162:N171)</f>
        <v>0</v>
      </c>
      <c r="O172" s="402"/>
    </row>
    <row r="173" spans="1:15" ht="12.75" hidden="1">
      <c r="A173" s="402">
        <v>3</v>
      </c>
      <c r="B173" s="252"/>
      <c r="C173" s="402"/>
      <c r="D173" s="18">
        <v>703</v>
      </c>
      <c r="E173" s="107" t="s">
        <v>363</v>
      </c>
      <c r="F173" s="108">
        <f>(F172-F171)*0.0025</f>
        <v>0</v>
      </c>
      <c r="H173" s="18">
        <v>703</v>
      </c>
      <c r="I173" s="107" t="s">
        <v>363</v>
      </c>
      <c r="J173" s="108">
        <f>(J172-J171)*0.0025</f>
        <v>0</v>
      </c>
      <c r="L173" s="18">
        <v>703</v>
      </c>
      <c r="M173" s="107" t="s">
        <v>363</v>
      </c>
      <c r="N173" s="108">
        <f>(N172-N171)*0.0025</f>
        <v>0</v>
      </c>
      <c r="O173" s="402"/>
    </row>
    <row r="174" spans="1:15" ht="12.75" hidden="1">
      <c r="A174" s="402">
        <v>3</v>
      </c>
      <c r="B174" s="252"/>
      <c r="C174" s="402"/>
      <c r="D174" s="19">
        <v>707</v>
      </c>
      <c r="E174" s="109" t="s">
        <v>23</v>
      </c>
      <c r="F174" s="17">
        <f>(F172-F171)*0.03</f>
        <v>0</v>
      </c>
      <c r="H174" s="19">
        <v>707</v>
      </c>
      <c r="I174" s="109" t="s">
        <v>23</v>
      </c>
      <c r="J174" s="17">
        <f>(J172-J171)*0.03</f>
        <v>0</v>
      </c>
      <c r="L174" s="19">
        <v>707</v>
      </c>
      <c r="M174" s="109" t="s">
        <v>23</v>
      </c>
      <c r="N174" s="17">
        <f>(N172-N171)*0.03</f>
        <v>0</v>
      </c>
      <c r="O174" s="402"/>
    </row>
    <row r="175" spans="1:15" ht="12.75" hidden="1">
      <c r="A175" s="402">
        <v>3</v>
      </c>
      <c r="B175" s="252"/>
      <c r="C175" s="402"/>
      <c r="D175" s="19">
        <v>709</v>
      </c>
      <c r="E175" s="109" t="s">
        <v>24</v>
      </c>
      <c r="F175" s="17">
        <f>(F172-F171)*0.0213</f>
        <v>0</v>
      </c>
      <c r="H175" s="19">
        <v>709</v>
      </c>
      <c r="I175" s="109" t="s">
        <v>24</v>
      </c>
      <c r="J175" s="17">
        <f>(J172-J171)*0.0213</f>
        <v>0</v>
      </c>
      <c r="L175" s="19">
        <v>709</v>
      </c>
      <c r="M175" s="109" t="s">
        <v>24</v>
      </c>
      <c r="N175" s="17">
        <f>(N172-N171)*0.0213</f>
        <v>0</v>
      </c>
      <c r="O175" s="402"/>
    </row>
    <row r="176" spans="1:15" ht="12.75" hidden="1">
      <c r="A176" s="402">
        <v>3</v>
      </c>
      <c r="B176" s="252"/>
      <c r="C176" s="402"/>
      <c r="D176" s="16">
        <v>710</v>
      </c>
      <c r="E176" s="109" t="s">
        <v>25</v>
      </c>
      <c r="F176" s="17">
        <f>(F172-F171)*0.00754</f>
        <v>0</v>
      </c>
      <c r="H176" s="16">
        <v>710</v>
      </c>
      <c r="I176" s="109" t="s">
        <v>25</v>
      </c>
      <c r="J176" s="17">
        <f>(J172-J171)*0.00754</f>
        <v>0</v>
      </c>
      <c r="L176" s="16">
        <v>710</v>
      </c>
      <c r="M176" s="109" t="s">
        <v>25</v>
      </c>
      <c r="N176" s="17">
        <f>(N172-N171)*0.00754</f>
        <v>0</v>
      </c>
      <c r="O176" s="402"/>
    </row>
    <row r="177" spans="1:15" ht="12.75" hidden="1">
      <c r="A177" s="402">
        <v>3</v>
      </c>
      <c r="B177" s="252"/>
      <c r="C177" s="402"/>
      <c r="D177" s="16">
        <v>713</v>
      </c>
      <c r="E177" s="109" t="s">
        <v>26</v>
      </c>
      <c r="F177" s="17">
        <f>(F172-F171)*0.007</f>
        <v>0</v>
      </c>
      <c r="H177" s="16">
        <v>713</v>
      </c>
      <c r="I177" s="109" t="s">
        <v>26</v>
      </c>
      <c r="J177" s="17">
        <f>(J172-J171)*0.007</f>
        <v>0</v>
      </c>
      <c r="L177" s="16">
        <v>713</v>
      </c>
      <c r="M177" s="109" t="s">
        <v>26</v>
      </c>
      <c r="N177" s="17">
        <f>(N172-N171)*0.007</f>
        <v>0</v>
      </c>
      <c r="O177" s="402"/>
    </row>
    <row r="178" spans="1:15" ht="13.5" hidden="1" thickBot="1">
      <c r="A178" s="402">
        <v>3</v>
      </c>
      <c r="B178" s="252"/>
      <c r="C178" s="402"/>
      <c r="D178" s="16"/>
      <c r="E178" s="110" t="s">
        <v>27</v>
      </c>
      <c r="F178" s="50">
        <v>0</v>
      </c>
      <c r="H178" s="16"/>
      <c r="I178" s="110" t="s">
        <v>27</v>
      </c>
      <c r="J178" s="50">
        <v>0</v>
      </c>
      <c r="L178" s="16"/>
      <c r="M178" s="110" t="s">
        <v>27</v>
      </c>
      <c r="N178" s="50">
        <v>0</v>
      </c>
      <c r="O178" s="402"/>
    </row>
    <row r="179" spans="1:15" ht="16.5" hidden="1" thickBot="1">
      <c r="A179" s="402">
        <v>3</v>
      </c>
      <c r="B179" s="252"/>
      <c r="C179" s="402"/>
      <c r="D179" s="111"/>
      <c r="E179" s="105" t="s">
        <v>28</v>
      </c>
      <c r="F179" s="106">
        <f>SUM(F173:F178)</f>
        <v>0</v>
      </c>
      <c r="H179" s="111"/>
      <c r="I179" s="105" t="s">
        <v>28</v>
      </c>
      <c r="J179" s="106">
        <f>SUM(J173:J178)</f>
        <v>0</v>
      </c>
      <c r="L179" s="111"/>
      <c r="M179" s="105" t="s">
        <v>28</v>
      </c>
      <c r="N179" s="106">
        <f>SUM(N173:N178)</f>
        <v>0</v>
      </c>
      <c r="O179" s="402"/>
    </row>
    <row r="180" spans="1:15" ht="13.5" hidden="1" thickBot="1">
      <c r="A180" s="402">
        <v>3</v>
      </c>
      <c r="B180" s="252"/>
      <c r="C180" s="402"/>
      <c r="D180" s="112"/>
      <c r="E180" s="113"/>
      <c r="F180" s="114"/>
      <c r="H180" s="112"/>
      <c r="I180" s="113"/>
      <c r="J180" s="114"/>
      <c r="L180" s="112"/>
      <c r="M180" s="113"/>
      <c r="N180" s="114"/>
      <c r="O180" s="402"/>
    </row>
    <row r="181" spans="1:17" ht="16.5" hidden="1" thickBot="1">
      <c r="A181" s="402">
        <v>3</v>
      </c>
      <c r="B181" s="63"/>
      <c r="C181" s="402"/>
      <c r="D181" s="115"/>
      <c r="E181" s="116" t="s">
        <v>29</v>
      </c>
      <c r="F181" s="117">
        <f>F172-F179</f>
        <v>0</v>
      </c>
      <c r="H181" s="115"/>
      <c r="I181" s="116" t="s">
        <v>29</v>
      </c>
      <c r="J181" s="117">
        <f>J172-J179</f>
        <v>0</v>
      </c>
      <c r="L181" s="115"/>
      <c r="M181" s="116" t="s">
        <v>29</v>
      </c>
      <c r="N181" s="117">
        <f>N172-N179</f>
        <v>0</v>
      </c>
      <c r="O181" s="402"/>
      <c r="P181" s="402"/>
      <c r="Q181" s="402"/>
    </row>
    <row r="182" spans="1:17" s="364" customFormat="1" ht="15.75" hidden="1">
      <c r="A182" s="402">
        <v>3</v>
      </c>
      <c r="B182" s="252"/>
      <c r="C182" s="405"/>
      <c r="D182" s="12"/>
      <c r="E182" s="79"/>
      <c r="F182" s="368"/>
      <c r="G182" s="12"/>
      <c r="H182" s="12"/>
      <c r="I182" s="79"/>
      <c r="J182" s="368"/>
      <c r="O182" s="411"/>
      <c r="P182" s="411"/>
      <c r="Q182" s="411"/>
    </row>
    <row r="183" spans="1:17" s="364" customFormat="1" ht="15.75" hidden="1">
      <c r="A183" s="402">
        <v>3</v>
      </c>
      <c r="B183" s="252"/>
      <c r="C183" s="405"/>
      <c r="D183" s="79"/>
      <c r="E183" s="12"/>
      <c r="F183" s="369"/>
      <c r="G183" s="12"/>
      <c r="H183" s="79"/>
      <c r="I183" s="301" t="s">
        <v>476</v>
      </c>
      <c r="J183" s="299">
        <f>J181-F181</f>
        <v>0</v>
      </c>
      <c r="K183"/>
      <c r="L183"/>
      <c r="M183" s="301" t="s">
        <v>474</v>
      </c>
      <c r="N183" s="299">
        <f>N181-J181</f>
        <v>0</v>
      </c>
      <c r="O183" s="377" t="s">
        <v>472</v>
      </c>
      <c r="P183" s="378">
        <f>N181-F181</f>
        <v>0</v>
      </c>
      <c r="Q183" s="411"/>
    </row>
    <row r="184" spans="1:17" s="364" customFormat="1" ht="15.75" hidden="1">
      <c r="A184" s="402">
        <v>3</v>
      </c>
      <c r="B184" s="252"/>
      <c r="C184" s="252"/>
      <c r="D184" s="370"/>
      <c r="E184" s="371"/>
      <c r="F184" s="372"/>
      <c r="G184" s="12"/>
      <c r="H184" s="370"/>
      <c r="I184" s="301" t="s">
        <v>477</v>
      </c>
      <c r="J184" s="300" t="e">
        <f>J183/F181</f>
        <v>#DIV/0!</v>
      </c>
      <c r="K184"/>
      <c r="L184"/>
      <c r="M184" s="301" t="s">
        <v>475</v>
      </c>
      <c r="N184" s="300" t="e">
        <f>N183/J181</f>
        <v>#DIV/0!</v>
      </c>
      <c r="O184" s="377" t="s">
        <v>473</v>
      </c>
      <c r="P184" s="379" t="e">
        <f>P183/F181</f>
        <v>#DIV/0!</v>
      </c>
      <c r="Q184" s="411"/>
    </row>
    <row r="185" spans="1:17" ht="15.75" hidden="1">
      <c r="A185" s="402">
        <v>3</v>
      </c>
      <c r="B185" s="63"/>
      <c r="C185" s="63"/>
      <c r="D185" s="4"/>
      <c r="E185" s="281"/>
      <c r="F185" s="286"/>
      <c r="G185" s="11"/>
      <c r="H185" s="4"/>
      <c r="I185" s="281"/>
      <c r="J185" s="286"/>
      <c r="Q185" s="402"/>
    </row>
    <row r="186" spans="1:17" ht="15.75" hidden="1">
      <c r="A186" s="402">
        <v>3</v>
      </c>
      <c r="B186" s="63"/>
      <c r="C186" s="63"/>
      <c r="D186" s="406"/>
      <c r="E186" s="407"/>
      <c r="F186" s="408"/>
      <c r="G186" s="63"/>
      <c r="H186" s="406"/>
      <c r="I186" s="407"/>
      <c r="J186" s="408"/>
      <c r="K186" s="402"/>
      <c r="L186" s="402"/>
      <c r="M186" s="402"/>
      <c r="N186" s="402"/>
      <c r="O186" s="402"/>
      <c r="P186" s="402"/>
      <c r="Q186" s="402"/>
    </row>
    <row r="187" spans="1:17" ht="15.75" hidden="1">
      <c r="A187" s="402">
        <v>3</v>
      </c>
      <c r="B187" s="63"/>
      <c r="C187" s="63"/>
      <c r="D187" s="406"/>
      <c r="E187" s="407"/>
      <c r="F187" s="408"/>
      <c r="G187" s="63"/>
      <c r="H187" s="406"/>
      <c r="I187" s="407"/>
      <c r="J187" s="409"/>
      <c r="K187" s="402"/>
      <c r="L187" s="402"/>
      <c r="M187" s="402"/>
      <c r="N187" s="402"/>
      <c r="O187" s="402"/>
      <c r="P187" s="402"/>
      <c r="Q187" s="402"/>
    </row>
    <row r="188" spans="1:17" ht="15.75" hidden="1">
      <c r="A188" s="402">
        <v>3</v>
      </c>
      <c r="B188" s="63"/>
      <c r="C188" s="63"/>
      <c r="D188" s="406"/>
      <c r="E188" s="407"/>
      <c r="F188" s="408"/>
      <c r="G188" s="63"/>
      <c r="H188" s="406"/>
      <c r="I188" s="407"/>
      <c r="J188" s="408"/>
      <c r="K188" s="402"/>
      <c r="L188" s="402"/>
      <c r="M188" s="402"/>
      <c r="N188" s="402"/>
      <c r="O188" s="402"/>
      <c r="P188" s="402"/>
      <c r="Q188" s="402"/>
    </row>
    <row r="189" spans="1:17" ht="15.75">
      <c r="A189" s="402">
        <v>3</v>
      </c>
      <c r="B189" s="63"/>
      <c r="C189" s="406"/>
      <c r="D189" s="412"/>
      <c r="E189" s="413"/>
      <c r="F189" s="63"/>
      <c r="G189" s="406"/>
      <c r="H189" s="414"/>
      <c r="I189" s="415"/>
      <c r="J189" s="415"/>
      <c r="K189" s="415"/>
      <c r="L189" s="415"/>
      <c r="M189" s="63"/>
      <c r="N189" s="404"/>
      <c r="O189" s="252"/>
      <c r="P189" s="78"/>
      <c r="Q189" s="78"/>
    </row>
    <row r="190" ht="12.75" hidden="1"/>
    <row r="191" s="364" customFormat="1" ht="12.75" hidden="1"/>
    <row r="192" spans="1:20" ht="16.5" hidden="1" thickBot="1">
      <c r="A192" s="364">
        <v>4</v>
      </c>
      <c r="F192" t="s">
        <v>435</v>
      </c>
      <c r="G192" s="11" t="s">
        <v>439</v>
      </c>
      <c r="H192" s="11" t="s">
        <v>440</v>
      </c>
      <c r="I192" s="152" t="s">
        <v>441</v>
      </c>
      <c r="J192" s="152" t="s">
        <v>442</v>
      </c>
      <c r="K192" s="152" t="s">
        <v>443</v>
      </c>
      <c r="L192" s="152" t="s">
        <v>444</v>
      </c>
      <c r="M192" s="152" t="s">
        <v>445</v>
      </c>
      <c r="N192" s="152" t="s">
        <v>446</v>
      </c>
      <c r="O192" s="173" t="s">
        <v>447</v>
      </c>
      <c r="P192" s="173">
        <v>1</v>
      </c>
      <c r="Q192" s="173">
        <v>2</v>
      </c>
      <c r="R192" s="173">
        <v>3</v>
      </c>
      <c r="S192" s="173">
        <v>4</v>
      </c>
      <c r="T192" s="173">
        <v>5</v>
      </c>
    </row>
    <row r="193" spans="1:20" ht="16.5" hidden="1" thickBot="1">
      <c r="A193" s="364">
        <v>4</v>
      </c>
      <c r="E193" s="137">
        <v>0</v>
      </c>
      <c r="F193" s="154">
        <f>IF(puntosproljorvarios4&lt;620,T193,O193)</f>
        <v>80</v>
      </c>
      <c r="G193" s="154">
        <v>80</v>
      </c>
      <c r="H193" s="307">
        <v>80</v>
      </c>
      <c r="I193" s="174">
        <v>0</v>
      </c>
      <c r="J193" s="175">
        <v>0</v>
      </c>
      <c r="K193" s="176">
        <v>0</v>
      </c>
      <c r="L193" s="308">
        <v>0</v>
      </c>
      <c r="M193" s="309">
        <v>80</v>
      </c>
      <c r="N193" s="310">
        <v>80</v>
      </c>
      <c r="O193" s="177">
        <f aca="true" t="shared" si="18" ref="O193:O204">IF(punbasjubvarios4&gt;971,N193,M193)</f>
        <v>80</v>
      </c>
      <c r="P193" s="177">
        <f aca="true" t="shared" si="19" ref="P193:P204">IF(punbasjubvarios4&lt;972,G193,H193)</f>
        <v>80</v>
      </c>
      <c r="Q193" s="177">
        <f aca="true" t="shared" si="20" ref="Q193:Q204">IF(punbasjubvarios4&lt;1170,P193,I193)</f>
        <v>80</v>
      </c>
      <c r="R193" s="177">
        <f aca="true" t="shared" si="21" ref="R193:R204">IF(punbasjubvarios4&lt;1401,Q193,J193)</f>
        <v>80</v>
      </c>
      <c r="S193" s="177">
        <f aca="true" t="shared" si="22" ref="S193:S204">IF(punbasjubvarios4&lt;1943,R193,K193)</f>
        <v>80</v>
      </c>
      <c r="T193" s="177">
        <f aca="true" t="shared" si="23" ref="T193:T204">IF(punbasjubvarios4&lt;=2220,S193,L193)</f>
        <v>80</v>
      </c>
    </row>
    <row r="194" spans="1:20" ht="16.5" hidden="1" thickBot="1">
      <c r="A194" s="364">
        <v>4</v>
      </c>
      <c r="E194" s="138">
        <v>0.1</v>
      </c>
      <c r="F194" s="154">
        <f>IF(puntosproljorvarios4&lt;620,T194,O194)</f>
        <v>90</v>
      </c>
      <c r="G194" s="154">
        <v>90</v>
      </c>
      <c r="H194" s="312">
        <v>90</v>
      </c>
      <c r="I194" s="174">
        <v>0</v>
      </c>
      <c r="J194" s="175">
        <v>0</v>
      </c>
      <c r="K194" s="176">
        <v>0</v>
      </c>
      <c r="L194" s="308">
        <v>0</v>
      </c>
      <c r="M194" s="309">
        <v>90</v>
      </c>
      <c r="N194" s="310">
        <v>90</v>
      </c>
      <c r="O194" s="177">
        <f t="shared" si="18"/>
        <v>90</v>
      </c>
      <c r="P194" s="177">
        <f t="shared" si="19"/>
        <v>90</v>
      </c>
      <c r="Q194" s="177">
        <f t="shared" si="20"/>
        <v>90</v>
      </c>
      <c r="R194" s="177">
        <f t="shared" si="21"/>
        <v>90</v>
      </c>
      <c r="S194" s="177">
        <f t="shared" si="22"/>
        <v>90</v>
      </c>
      <c r="T194" s="177">
        <f t="shared" si="23"/>
        <v>90</v>
      </c>
    </row>
    <row r="195" spans="1:20" ht="16.5" hidden="1" thickBot="1">
      <c r="A195" s="364">
        <v>4</v>
      </c>
      <c r="E195" s="139">
        <v>0.15</v>
      </c>
      <c r="F195" s="154">
        <f>IF(puntosproljorvarios4&lt;620,T195,O195)</f>
        <v>180</v>
      </c>
      <c r="G195" s="154">
        <v>180</v>
      </c>
      <c r="H195" s="312">
        <v>180</v>
      </c>
      <c r="I195" s="178">
        <v>240</v>
      </c>
      <c r="J195" s="179">
        <v>193</v>
      </c>
      <c r="K195" s="180">
        <v>180</v>
      </c>
      <c r="L195" s="308">
        <v>0</v>
      </c>
      <c r="M195" s="309">
        <v>220</v>
      </c>
      <c r="N195" s="310">
        <v>220</v>
      </c>
      <c r="O195" s="177">
        <f t="shared" si="18"/>
        <v>220</v>
      </c>
      <c r="P195" s="177">
        <f t="shared" si="19"/>
        <v>180</v>
      </c>
      <c r="Q195" s="177">
        <f t="shared" si="20"/>
        <v>180</v>
      </c>
      <c r="R195" s="177">
        <f t="shared" si="21"/>
        <v>180</v>
      </c>
      <c r="S195" s="177">
        <f t="shared" si="22"/>
        <v>180</v>
      </c>
      <c r="T195" s="177">
        <f t="shared" si="23"/>
        <v>180</v>
      </c>
    </row>
    <row r="196" spans="1:20" ht="16.5" hidden="1" thickBot="1">
      <c r="A196" s="364">
        <v>4</v>
      </c>
      <c r="E196" s="139">
        <v>0.3</v>
      </c>
      <c r="F196" s="154">
        <f>IF(puntosproljorvarios4&lt;620,T196,O196)</f>
        <v>225</v>
      </c>
      <c r="G196" s="154">
        <v>225</v>
      </c>
      <c r="H196" s="312">
        <v>195</v>
      </c>
      <c r="I196" s="178">
        <v>240</v>
      </c>
      <c r="J196" s="179">
        <v>193</v>
      </c>
      <c r="K196" s="180">
        <v>180</v>
      </c>
      <c r="L196" s="308">
        <v>0</v>
      </c>
      <c r="M196" s="309">
        <v>380</v>
      </c>
      <c r="N196" s="310">
        <v>350</v>
      </c>
      <c r="O196" s="177">
        <f t="shared" si="18"/>
        <v>380</v>
      </c>
      <c r="P196" s="177">
        <f t="shared" si="19"/>
        <v>225</v>
      </c>
      <c r="Q196" s="177">
        <f t="shared" si="20"/>
        <v>225</v>
      </c>
      <c r="R196" s="177">
        <f t="shared" si="21"/>
        <v>225</v>
      </c>
      <c r="S196" s="177">
        <f t="shared" si="22"/>
        <v>225</v>
      </c>
      <c r="T196" s="177">
        <f t="shared" si="23"/>
        <v>225</v>
      </c>
    </row>
    <row r="197" spans="1:20" ht="16.5" hidden="1" thickBot="1">
      <c r="A197" s="364">
        <v>4</v>
      </c>
      <c r="E197" s="139">
        <v>0.4</v>
      </c>
      <c r="F197" s="154">
        <f>IF(puntosproljorvarios4&lt;620,T197,O197)</f>
        <v>250</v>
      </c>
      <c r="G197" s="154">
        <v>250</v>
      </c>
      <c r="H197" s="312">
        <v>210</v>
      </c>
      <c r="I197" s="178">
        <v>250</v>
      </c>
      <c r="J197" s="179">
        <v>200</v>
      </c>
      <c r="K197" s="180">
        <v>180</v>
      </c>
      <c r="L197" s="308">
        <v>140</v>
      </c>
      <c r="M197" s="309">
        <v>440</v>
      </c>
      <c r="N197" s="310">
        <v>400</v>
      </c>
      <c r="O197" s="177">
        <f t="shared" si="18"/>
        <v>440</v>
      </c>
      <c r="P197" s="177">
        <f t="shared" si="19"/>
        <v>250</v>
      </c>
      <c r="Q197" s="177">
        <f t="shared" si="20"/>
        <v>250</v>
      </c>
      <c r="R197" s="177">
        <f t="shared" si="21"/>
        <v>250</v>
      </c>
      <c r="S197" s="177">
        <f t="shared" si="22"/>
        <v>250</v>
      </c>
      <c r="T197" s="177">
        <f t="shared" si="23"/>
        <v>250</v>
      </c>
    </row>
    <row r="198" spans="1:20" ht="16.5" hidden="1" thickBot="1">
      <c r="A198" s="364">
        <v>4</v>
      </c>
      <c r="E198" s="139">
        <v>0.5</v>
      </c>
      <c r="F198" s="154">
        <f>IF(puntosproljorvarios4&lt;620,T198,O198)</f>
        <v>270</v>
      </c>
      <c r="G198" s="154">
        <v>270</v>
      </c>
      <c r="H198" s="312">
        <v>230</v>
      </c>
      <c r="I198" s="178">
        <v>250</v>
      </c>
      <c r="J198" s="157">
        <v>200</v>
      </c>
      <c r="K198" s="180">
        <v>180</v>
      </c>
      <c r="L198" s="308">
        <v>140</v>
      </c>
      <c r="M198" s="309">
        <v>475</v>
      </c>
      <c r="N198" s="310">
        <v>435</v>
      </c>
      <c r="O198" s="177">
        <f t="shared" si="18"/>
        <v>475</v>
      </c>
      <c r="P198" s="177">
        <f t="shared" si="19"/>
        <v>270</v>
      </c>
      <c r="Q198" s="177">
        <f t="shared" si="20"/>
        <v>270</v>
      </c>
      <c r="R198" s="177">
        <f t="shared" si="21"/>
        <v>270</v>
      </c>
      <c r="S198" s="177">
        <f t="shared" si="22"/>
        <v>270</v>
      </c>
      <c r="T198" s="177">
        <f t="shared" si="23"/>
        <v>270</v>
      </c>
    </row>
    <row r="199" spans="1:20" ht="16.5" hidden="1" thickBot="1">
      <c r="A199" s="364">
        <v>4</v>
      </c>
      <c r="E199" s="139">
        <v>0.6</v>
      </c>
      <c r="F199" s="154">
        <f>IF(puntosproljorvarios4&lt;620,T199,O199)</f>
        <v>320</v>
      </c>
      <c r="G199" s="154">
        <v>320</v>
      </c>
      <c r="H199" s="312">
        <v>260</v>
      </c>
      <c r="I199" s="178">
        <v>260</v>
      </c>
      <c r="J199" s="157">
        <v>203</v>
      </c>
      <c r="K199" s="180">
        <v>190</v>
      </c>
      <c r="L199" s="308">
        <v>160</v>
      </c>
      <c r="M199" s="309">
        <v>510</v>
      </c>
      <c r="N199" s="310">
        <v>450</v>
      </c>
      <c r="O199" s="177">
        <f t="shared" si="18"/>
        <v>510</v>
      </c>
      <c r="P199" s="177">
        <f t="shared" si="19"/>
        <v>320</v>
      </c>
      <c r="Q199" s="177">
        <f t="shared" si="20"/>
        <v>320</v>
      </c>
      <c r="R199" s="177">
        <f t="shared" si="21"/>
        <v>320</v>
      </c>
      <c r="S199" s="177">
        <f t="shared" si="22"/>
        <v>320</v>
      </c>
      <c r="T199" s="177">
        <f t="shared" si="23"/>
        <v>320</v>
      </c>
    </row>
    <row r="200" spans="1:20" ht="16.5" hidden="1" thickBot="1">
      <c r="A200" s="364">
        <v>4</v>
      </c>
      <c r="E200" s="139">
        <v>0.7</v>
      </c>
      <c r="F200" s="154">
        <f>IF(puntosproljorvarios4&lt;620,T200,O200)</f>
        <v>345</v>
      </c>
      <c r="G200" s="154">
        <v>345</v>
      </c>
      <c r="H200" s="312">
        <v>285</v>
      </c>
      <c r="I200" s="178">
        <v>365</v>
      </c>
      <c r="J200" s="157">
        <v>230</v>
      </c>
      <c r="K200" s="180">
        <v>190</v>
      </c>
      <c r="L200" s="308">
        <v>160</v>
      </c>
      <c r="M200" s="309">
        <v>525</v>
      </c>
      <c r="N200" s="310">
        <v>465</v>
      </c>
      <c r="O200" s="177">
        <f t="shared" si="18"/>
        <v>525</v>
      </c>
      <c r="P200" s="177">
        <f t="shared" si="19"/>
        <v>345</v>
      </c>
      <c r="Q200" s="177">
        <f t="shared" si="20"/>
        <v>345</v>
      </c>
      <c r="R200" s="177">
        <f t="shared" si="21"/>
        <v>345</v>
      </c>
      <c r="S200" s="177">
        <f t="shared" si="22"/>
        <v>345</v>
      </c>
      <c r="T200" s="177">
        <f t="shared" si="23"/>
        <v>345</v>
      </c>
    </row>
    <row r="201" spans="1:20" ht="16.5" hidden="1" thickBot="1">
      <c r="A201" s="364">
        <v>4</v>
      </c>
      <c r="E201" s="139">
        <v>0.8</v>
      </c>
      <c r="F201" s="154">
        <f>IF(puntosproljorvarios4&lt;620,T201,O201)</f>
        <v>425</v>
      </c>
      <c r="G201" s="154">
        <v>425</v>
      </c>
      <c r="H201" s="312">
        <v>345</v>
      </c>
      <c r="I201" s="156">
        <v>395</v>
      </c>
      <c r="J201" s="157">
        <v>340</v>
      </c>
      <c r="K201" s="181">
        <v>280</v>
      </c>
      <c r="L201" s="314">
        <v>180</v>
      </c>
      <c r="M201" s="309">
        <v>555</v>
      </c>
      <c r="N201" s="310">
        <v>475</v>
      </c>
      <c r="O201" s="177">
        <f t="shared" si="18"/>
        <v>555</v>
      </c>
      <c r="P201" s="177">
        <f t="shared" si="19"/>
        <v>425</v>
      </c>
      <c r="Q201" s="177">
        <f t="shared" si="20"/>
        <v>425</v>
      </c>
      <c r="R201" s="177">
        <f t="shared" si="21"/>
        <v>425</v>
      </c>
      <c r="S201" s="177">
        <f t="shared" si="22"/>
        <v>425</v>
      </c>
      <c r="T201" s="177">
        <f t="shared" si="23"/>
        <v>425</v>
      </c>
    </row>
    <row r="202" spans="1:20" ht="16.5" hidden="1" thickBot="1">
      <c r="A202" s="364">
        <v>4</v>
      </c>
      <c r="E202" s="139">
        <v>1</v>
      </c>
      <c r="F202" s="154">
        <f>IF(puntosproljorvarios4&lt;620,T202,O202)</f>
        <v>535</v>
      </c>
      <c r="G202" s="154">
        <v>535</v>
      </c>
      <c r="H202" s="312">
        <v>435</v>
      </c>
      <c r="I202" s="156">
        <v>410</v>
      </c>
      <c r="J202" s="157">
        <v>330</v>
      </c>
      <c r="K202" s="181">
        <v>310</v>
      </c>
      <c r="L202" s="314">
        <v>180</v>
      </c>
      <c r="M202" s="309">
        <v>590</v>
      </c>
      <c r="N202" s="310">
        <v>490</v>
      </c>
      <c r="O202" s="177">
        <f t="shared" si="18"/>
        <v>590</v>
      </c>
      <c r="P202" s="177">
        <f t="shared" si="19"/>
        <v>535</v>
      </c>
      <c r="Q202" s="177">
        <f t="shared" si="20"/>
        <v>535</v>
      </c>
      <c r="R202" s="177">
        <f t="shared" si="21"/>
        <v>535</v>
      </c>
      <c r="S202" s="177">
        <f t="shared" si="22"/>
        <v>535</v>
      </c>
      <c r="T202" s="177">
        <f t="shared" si="23"/>
        <v>535</v>
      </c>
    </row>
    <row r="203" spans="1:20" ht="16.5" hidden="1" thickBot="1">
      <c r="A203" s="364">
        <v>4</v>
      </c>
      <c r="E203" s="139">
        <v>1.1</v>
      </c>
      <c r="F203" s="154">
        <f>IF(puntosproljorvarios4&lt;620,T203,O203)</f>
        <v>605</v>
      </c>
      <c r="G203" s="154">
        <v>605</v>
      </c>
      <c r="H203" s="312">
        <v>495</v>
      </c>
      <c r="I203" s="156">
        <v>430</v>
      </c>
      <c r="J203" s="157">
        <v>330</v>
      </c>
      <c r="K203" s="181">
        <v>320</v>
      </c>
      <c r="L203" s="314">
        <v>190</v>
      </c>
      <c r="M203" s="309">
        <v>615</v>
      </c>
      <c r="N203" s="310">
        <v>505</v>
      </c>
      <c r="O203" s="177">
        <f t="shared" si="18"/>
        <v>615</v>
      </c>
      <c r="P203" s="177">
        <f t="shared" si="19"/>
        <v>605</v>
      </c>
      <c r="Q203" s="177">
        <f t="shared" si="20"/>
        <v>605</v>
      </c>
      <c r="R203" s="177">
        <f t="shared" si="21"/>
        <v>605</v>
      </c>
      <c r="S203" s="177">
        <f t="shared" si="22"/>
        <v>605</v>
      </c>
      <c r="T203" s="177">
        <f t="shared" si="23"/>
        <v>605</v>
      </c>
    </row>
    <row r="204" spans="1:20" ht="16.5" hidden="1" thickBot="1">
      <c r="A204" s="364">
        <v>4</v>
      </c>
      <c r="E204" s="140">
        <v>1.2</v>
      </c>
      <c r="F204" s="154">
        <f>IF(puntosproljorvarios4&lt;620,T204,O204)</f>
        <v>620</v>
      </c>
      <c r="G204" s="154">
        <v>620</v>
      </c>
      <c r="H204" s="312">
        <v>510</v>
      </c>
      <c r="I204" s="156">
        <v>480</v>
      </c>
      <c r="J204" s="157">
        <v>335</v>
      </c>
      <c r="K204" s="181">
        <v>330</v>
      </c>
      <c r="L204" s="314">
        <v>190</v>
      </c>
      <c r="M204" s="309">
        <v>620</v>
      </c>
      <c r="N204" s="310">
        <v>510</v>
      </c>
      <c r="O204" s="177">
        <f t="shared" si="18"/>
        <v>620</v>
      </c>
      <c r="P204" s="177">
        <f t="shared" si="19"/>
        <v>620</v>
      </c>
      <c r="Q204" s="177">
        <f t="shared" si="20"/>
        <v>620</v>
      </c>
      <c r="R204" s="177">
        <f t="shared" si="21"/>
        <v>620</v>
      </c>
      <c r="S204" s="177">
        <f t="shared" si="22"/>
        <v>620</v>
      </c>
      <c r="T204" s="177">
        <f t="shared" si="23"/>
        <v>620</v>
      </c>
    </row>
    <row r="205" spans="1:20" s="358" customFormat="1" ht="15.75" hidden="1">
      <c r="A205" s="364">
        <v>4</v>
      </c>
      <c r="E205" s="359"/>
      <c r="F205" s="223"/>
      <c r="G205" s="223"/>
      <c r="H205" s="360"/>
      <c r="I205" s="361"/>
      <c r="J205" s="361"/>
      <c r="K205" s="223"/>
      <c r="L205" s="12"/>
      <c r="M205" s="155"/>
      <c r="N205" s="155"/>
      <c r="O205" s="155"/>
      <c r="P205" s="155"/>
      <c r="Q205" s="155"/>
      <c r="R205" s="155"/>
      <c r="S205" s="155"/>
      <c r="T205" s="155"/>
    </row>
    <row r="206" spans="1:20" s="358" customFormat="1" ht="15.75" hidden="1">
      <c r="A206" s="364">
        <v>4</v>
      </c>
      <c r="E206" s="359"/>
      <c r="F206" s="223" t="s">
        <v>471</v>
      </c>
      <c r="G206" s="223">
        <f>LOOKUP(F222,porantvar4,cod06cargosvar4)</f>
        <v>620</v>
      </c>
      <c r="H206" s="360"/>
      <c r="I206" s="361"/>
      <c r="J206" s="361"/>
      <c r="K206" s="223"/>
      <c r="L206" s="12"/>
      <c r="M206" s="155"/>
      <c r="N206" s="155"/>
      <c r="O206" s="155"/>
      <c r="P206" s="155"/>
      <c r="Q206" s="155"/>
      <c r="R206" s="155"/>
      <c r="S206" s="155"/>
      <c r="T206" s="155"/>
    </row>
    <row r="207" s="364" customFormat="1" ht="12.75" hidden="1">
      <c r="A207" s="364">
        <v>4</v>
      </c>
    </row>
    <row r="208" ht="12.75" hidden="1">
      <c r="A208" s="364">
        <v>4</v>
      </c>
    </row>
    <row r="209" spans="1:15" ht="12.75">
      <c r="A209" s="417">
        <v>4</v>
      </c>
      <c r="B209" s="418"/>
      <c r="C209" s="418"/>
      <c r="D209" s="418"/>
      <c r="E209" s="418"/>
      <c r="F209" s="418"/>
      <c r="G209" s="418"/>
      <c r="H209" s="418"/>
      <c r="I209" s="418"/>
      <c r="J209" s="418"/>
      <c r="K209" s="418"/>
      <c r="L209" s="418"/>
      <c r="M209" s="418"/>
      <c r="N209" s="418"/>
      <c r="O209" s="418"/>
    </row>
    <row r="210" spans="1:17" ht="20.25">
      <c r="A210" s="417">
        <v>4</v>
      </c>
      <c r="B210" s="257"/>
      <c r="C210" s="258"/>
      <c r="D210" s="258"/>
      <c r="E210" s="90" t="s">
        <v>430</v>
      </c>
      <c r="F210" s="11"/>
      <c r="G210" s="11"/>
      <c r="H210" s="258"/>
      <c r="I210" s="258"/>
      <c r="J210" s="258"/>
      <c r="K210" s="258"/>
      <c r="L210" s="258"/>
      <c r="M210" s="258"/>
      <c r="N210" s="256"/>
      <c r="O210" s="429"/>
      <c r="P210" s="223"/>
      <c r="Q210" s="223"/>
    </row>
    <row r="211" spans="1:17" ht="12.75">
      <c r="A211" s="417">
        <v>4</v>
      </c>
      <c r="B211" s="257"/>
      <c r="C211" s="257"/>
      <c r="D211" s="257"/>
      <c r="E211" s="257"/>
      <c r="F211" s="257"/>
      <c r="G211" s="257"/>
      <c r="H211" s="420"/>
      <c r="I211" s="257"/>
      <c r="J211" s="257"/>
      <c r="K211" s="257"/>
      <c r="L211" s="257"/>
      <c r="M211" s="257"/>
      <c r="N211" s="256"/>
      <c r="O211" s="429"/>
      <c r="P211" s="223"/>
      <c r="Q211" s="223"/>
    </row>
    <row r="212" spans="1:17" ht="12.75">
      <c r="A212" s="417">
        <v>4</v>
      </c>
      <c r="B212" s="418"/>
      <c r="C212" s="418"/>
      <c r="D212" s="45" t="s">
        <v>52</v>
      </c>
      <c r="E212" s="45" t="s">
        <v>356</v>
      </c>
      <c r="F212" s="45" t="s">
        <v>357</v>
      </c>
      <c r="G212" s="45" t="s">
        <v>358</v>
      </c>
      <c r="H212" s="45" t="s">
        <v>359</v>
      </c>
      <c r="I212" s="112" t="s">
        <v>452</v>
      </c>
      <c r="J212" s="257"/>
      <c r="K212" s="257"/>
      <c r="L212" s="257"/>
      <c r="M212" s="257"/>
      <c r="N212" s="256"/>
      <c r="O212" s="429"/>
      <c r="P212" s="223"/>
      <c r="Q212" s="223"/>
    </row>
    <row r="213" spans="1:17" ht="16.5" thickBot="1">
      <c r="A213" s="417">
        <v>4</v>
      </c>
      <c r="B213" s="418"/>
      <c r="C213" s="418"/>
      <c r="D213" s="130">
        <v>749</v>
      </c>
      <c r="E213" s="91">
        <f>LOOKUP(D213,[0]!numerocargo,[0]!puntosbasicoscargo)</f>
        <v>971</v>
      </c>
      <c r="F213" s="91">
        <f>LOOKUP(D213,[0]!numerocargo,[0]!tardifcargo)</f>
        <v>0</v>
      </c>
      <c r="G213" s="91">
        <f>LOOKUP(D213,[0]!numerocargo,[0]!proljorcargo)</f>
        <v>0</v>
      </c>
      <c r="H213" s="91">
        <f>LOOKUP(D213,[0]!numerocargo,[0]!jorcomcargo)</f>
        <v>0</v>
      </c>
      <c r="I213" s="45">
        <f>LOOKUP(D213,Cargos!A3:A314,puntoscompbasico)</f>
        <v>170</v>
      </c>
      <c r="J213" s="257"/>
      <c r="K213" s="257"/>
      <c r="L213" s="257"/>
      <c r="M213" s="257"/>
      <c r="N213" s="256"/>
      <c r="O213" s="429"/>
      <c r="P213" s="223"/>
      <c r="Q213" s="223"/>
    </row>
    <row r="214" spans="1:17" ht="13.5" thickBot="1">
      <c r="A214" s="417">
        <v>4</v>
      </c>
      <c r="B214" s="418"/>
      <c r="C214" s="418"/>
      <c r="D214" s="92" t="s">
        <v>53</v>
      </c>
      <c r="E214" s="93" t="str">
        <f>LOOKUP(D213,[0]!numerocargo,[0]!nombrecargo)</f>
        <v> MAESTRO DE GRADO</v>
      </c>
      <c r="F214" s="43"/>
      <c r="G214" s="43"/>
      <c r="H214" s="66"/>
      <c r="I214" s="12"/>
      <c r="J214" s="257"/>
      <c r="K214" s="257"/>
      <c r="L214" s="257"/>
      <c r="M214" s="257"/>
      <c r="N214" s="256"/>
      <c r="O214" s="429"/>
      <c r="P214" s="223"/>
      <c r="Q214" s="223"/>
    </row>
    <row r="215" spans="1:17" ht="13.5" hidden="1" thickBot="1">
      <c r="A215" s="417">
        <v>4</v>
      </c>
      <c r="B215" s="418"/>
      <c r="C215" s="418"/>
      <c r="D215" s="224"/>
      <c r="E215" s="10"/>
      <c r="F215" s="2"/>
      <c r="G215" s="2"/>
      <c r="H215" s="2"/>
      <c r="I215" s="146" t="s">
        <v>384</v>
      </c>
      <c r="J215" s="430"/>
      <c r="K215" s="430"/>
      <c r="L215" s="430"/>
      <c r="M215" s="257"/>
      <c r="N215" s="257"/>
      <c r="O215" s="257"/>
      <c r="P215" s="11"/>
      <c r="Q215" s="11"/>
    </row>
    <row r="216" spans="1:17" ht="19.5" thickBot="1" thickTop="1">
      <c r="A216" s="417">
        <v>4</v>
      </c>
      <c r="B216" s="418"/>
      <c r="C216" s="418"/>
      <c r="D216" s="225" t="s">
        <v>373</v>
      </c>
      <c r="E216" s="136"/>
      <c r="F216" s="136"/>
      <c r="G216" s="136"/>
      <c r="H216" s="226">
        <v>0</v>
      </c>
      <c r="I216" s="147">
        <f>H216/120</f>
        <v>0</v>
      </c>
      <c r="J216" s="420"/>
      <c r="K216" s="420"/>
      <c r="L216" s="420"/>
      <c r="M216" s="257"/>
      <c r="N216" s="257"/>
      <c r="O216" s="257"/>
      <c r="P216" s="11"/>
      <c r="Q216" s="11"/>
    </row>
    <row r="217" spans="1:17" ht="17.25" hidden="1" thickBot="1" thickTop="1">
      <c r="A217" s="417">
        <v>4</v>
      </c>
      <c r="B217" s="419"/>
      <c r="C217" s="420"/>
      <c r="D217" s="2"/>
      <c r="E217" s="2"/>
      <c r="F217" s="227"/>
      <c r="G217" s="12"/>
      <c r="H217" s="10"/>
      <c r="I217" s="12"/>
      <c r="J217" s="257"/>
      <c r="K217" s="257"/>
      <c r="L217" s="257"/>
      <c r="M217" s="257"/>
      <c r="N217" s="257"/>
      <c r="O217" s="257"/>
      <c r="P217" s="11"/>
      <c r="Q217" s="11"/>
    </row>
    <row r="218" spans="1:17" ht="17.25" thickBot="1" thickTop="1">
      <c r="A218" s="417">
        <v>4</v>
      </c>
      <c r="B218" s="419"/>
      <c r="C218" s="418"/>
      <c r="D218" s="134" t="s">
        <v>386</v>
      </c>
      <c r="E218" s="150">
        <v>0</v>
      </c>
      <c r="F218" s="227"/>
      <c r="G218" s="12"/>
      <c r="H218" s="10"/>
      <c r="I218" s="12"/>
      <c r="J218" s="257"/>
      <c r="K218" s="257"/>
      <c r="L218" s="257"/>
      <c r="M218" s="257"/>
      <c r="N218" s="257"/>
      <c r="O218" s="257"/>
      <c r="P218" s="11"/>
      <c r="Q218" s="11"/>
    </row>
    <row r="219" spans="1:17" ht="13.5" hidden="1" thickTop="1">
      <c r="A219" s="417">
        <v>4</v>
      </c>
      <c r="B219" s="419"/>
      <c r="C219" s="420"/>
      <c r="D219" s="2"/>
      <c r="E219" s="2"/>
      <c r="F219" s="2"/>
      <c r="G219" s="12"/>
      <c r="H219" s="10"/>
      <c r="I219" s="12"/>
      <c r="J219" s="257"/>
      <c r="K219" s="257"/>
      <c r="L219" s="257"/>
      <c r="M219" s="257"/>
      <c r="N219" s="257"/>
      <c r="O219" s="257"/>
      <c r="P219" s="11"/>
      <c r="Q219" s="11"/>
    </row>
    <row r="220" spans="1:17" ht="13.5" hidden="1" thickBot="1">
      <c r="A220" s="417">
        <v>4</v>
      </c>
      <c r="B220" s="257"/>
      <c r="C220" s="258"/>
      <c r="D220" s="11"/>
      <c r="E220" s="11"/>
      <c r="F220" s="11"/>
      <c r="G220" s="11"/>
      <c r="H220" s="11"/>
      <c r="I220" s="11"/>
      <c r="J220" s="258"/>
      <c r="K220" s="258"/>
      <c r="L220" s="258"/>
      <c r="M220" s="258"/>
      <c r="N220" s="258"/>
      <c r="O220" s="258"/>
      <c r="P220" s="11"/>
      <c r="Q220" s="11"/>
    </row>
    <row r="221" spans="1:17" ht="17.25" thickBot="1" thickTop="1">
      <c r="A221" s="417">
        <v>4</v>
      </c>
      <c r="B221" s="257"/>
      <c r="C221" s="258"/>
      <c r="D221" s="94" t="s">
        <v>14</v>
      </c>
      <c r="E221" s="43"/>
      <c r="F221" s="95">
        <f>E213*indicesep07</f>
        <v>480.645</v>
      </c>
      <c r="G221" s="11"/>
      <c r="H221" s="11"/>
      <c r="I221" s="258"/>
      <c r="J221" s="258"/>
      <c r="K221" s="258"/>
      <c r="L221" s="258"/>
      <c r="M221" s="259"/>
      <c r="N221" s="259"/>
      <c r="O221" s="258"/>
      <c r="P221" s="11"/>
      <c r="Q221" s="11"/>
    </row>
    <row r="222" spans="1:17" ht="16.5" thickBot="1">
      <c r="A222" s="417">
        <v>4</v>
      </c>
      <c r="B222" s="257"/>
      <c r="C222" s="258"/>
      <c r="D222" s="94" t="s">
        <v>15</v>
      </c>
      <c r="E222" s="43"/>
      <c r="F222" s="133">
        <v>1.2</v>
      </c>
      <c r="G222" s="11" t="s">
        <v>16</v>
      </c>
      <c r="H222" s="11"/>
      <c r="I222" s="258"/>
      <c r="J222" s="258"/>
      <c r="K222" s="258"/>
      <c r="L222" s="258"/>
      <c r="M222" s="258"/>
      <c r="N222" s="259"/>
      <c r="O222" s="258"/>
      <c r="P222" s="11"/>
      <c r="Q222" s="11"/>
    </row>
    <row r="223" spans="1:17" ht="15.75">
      <c r="A223" s="417">
        <v>4</v>
      </c>
      <c r="B223" s="257"/>
      <c r="C223" s="258"/>
      <c r="D223" s="257"/>
      <c r="E223" s="257"/>
      <c r="F223" s="260"/>
      <c r="G223" s="258"/>
      <c r="H223" s="258"/>
      <c r="I223" s="258"/>
      <c r="J223" s="258"/>
      <c r="K223" s="258"/>
      <c r="L223" s="258"/>
      <c r="M223" s="258"/>
      <c r="N223" s="261"/>
      <c r="O223" s="258"/>
      <c r="P223" s="11"/>
      <c r="Q223" s="11"/>
    </row>
    <row r="224" spans="1:17" ht="18.75" thickBot="1">
      <c r="A224" s="417">
        <v>4</v>
      </c>
      <c r="B224" s="257"/>
      <c r="C224" s="258"/>
      <c r="D224" s="98" t="s">
        <v>17</v>
      </c>
      <c r="E224" s="98"/>
      <c r="F224" s="99">
        <f>E213</f>
        <v>971</v>
      </c>
      <c r="G224" s="11" t="s">
        <v>18</v>
      </c>
      <c r="H224" s="11"/>
      <c r="I224" s="96">
        <f>H213+G213</f>
        <v>0</v>
      </c>
      <c r="J224" s="259"/>
      <c r="K224" s="259"/>
      <c r="L224" s="259"/>
      <c r="M224" s="257"/>
      <c r="N224" s="258"/>
      <c r="O224" s="258"/>
      <c r="P224" s="11"/>
      <c r="Q224" s="11"/>
    </row>
    <row r="225" spans="1:17" ht="15.75">
      <c r="A225" s="417">
        <v>4</v>
      </c>
      <c r="B225" s="257"/>
      <c r="C225" s="258"/>
      <c r="D225" s="2"/>
      <c r="E225" s="2"/>
      <c r="F225" s="231"/>
      <c r="G225" s="11"/>
      <c r="H225" s="11"/>
      <c r="I225" s="2"/>
      <c r="J225" s="2"/>
      <c r="K225" s="2"/>
      <c r="L225" s="2"/>
      <c r="M225" s="100"/>
      <c r="N225" s="11"/>
      <c r="O225" s="258"/>
      <c r="P225" s="11"/>
      <c r="Q225" s="11"/>
    </row>
    <row r="226" spans="1:15" ht="15.75">
      <c r="A226" s="417">
        <v>4</v>
      </c>
      <c r="B226" s="257"/>
      <c r="C226" s="258"/>
      <c r="D226" s="11"/>
      <c r="E226" s="187" t="s">
        <v>455</v>
      </c>
      <c r="F226" s="11"/>
      <c r="G226" s="258"/>
      <c r="H226" s="11"/>
      <c r="I226" s="187" t="s">
        <v>463</v>
      </c>
      <c r="J226" s="11"/>
      <c r="L226" s="11"/>
      <c r="M226" s="187" t="s">
        <v>478</v>
      </c>
      <c r="N226" s="11"/>
      <c r="O226" s="418"/>
    </row>
    <row r="227" spans="1:15" ht="12.75">
      <c r="A227" s="417">
        <v>4</v>
      </c>
      <c r="B227" s="257"/>
      <c r="C227" s="418"/>
      <c r="D227" s="18">
        <v>400</v>
      </c>
      <c r="E227" s="18" t="s">
        <v>19</v>
      </c>
      <c r="F227" s="101">
        <f>punbasjubvarios4*indicesep07*0.82*frac4</f>
        <v>0</v>
      </c>
      <c r="G227" s="418"/>
      <c r="H227" s="18">
        <v>400</v>
      </c>
      <c r="I227" s="18" t="s">
        <v>19</v>
      </c>
      <c r="J227" s="101">
        <f>punbasjubvarios4*indicemar08*0.82*frac4</f>
        <v>0</v>
      </c>
      <c r="K227" s="418"/>
      <c r="L227" s="18">
        <v>400</v>
      </c>
      <c r="M227" s="18" t="s">
        <v>19</v>
      </c>
      <c r="N227" s="101">
        <f>punbasjubvarios4*indicejul08*0.82*frac4</f>
        <v>0</v>
      </c>
      <c r="O227" s="418"/>
    </row>
    <row r="228" spans="1:15" ht="12.75">
      <c r="A228" s="417">
        <v>4</v>
      </c>
      <c r="B228" s="257"/>
      <c r="C228" s="418"/>
      <c r="D228" s="18" t="s">
        <v>468</v>
      </c>
      <c r="E228" s="18" t="s">
        <v>454</v>
      </c>
      <c r="F228" s="338">
        <v>0</v>
      </c>
      <c r="G228" s="418"/>
      <c r="H228" s="18" t="s">
        <v>468</v>
      </c>
      <c r="I228" s="18" t="s">
        <v>454</v>
      </c>
      <c r="J228" s="338">
        <f>compbasicovarios4*indicemar08*0.82*frac4</f>
        <v>0</v>
      </c>
      <c r="K228" s="418"/>
      <c r="L228" s="18" t="s">
        <v>468</v>
      </c>
      <c r="M228" s="18" t="s">
        <v>454</v>
      </c>
      <c r="N228" s="338">
        <f>compbasicovarios4*indicejul08*0.82*frac4</f>
        <v>0</v>
      </c>
      <c r="O228" s="418"/>
    </row>
    <row r="229" spans="1:14" ht="12.75" hidden="1">
      <c r="A229" s="417">
        <v>4</v>
      </c>
      <c r="B229" s="257"/>
      <c r="C229" s="418"/>
      <c r="D229" s="18">
        <v>404</v>
      </c>
      <c r="E229" s="18" t="s">
        <v>361</v>
      </c>
      <c r="F229" s="101">
        <f>F213*indicesep07*0.82*frac4</f>
        <v>0</v>
      </c>
      <c r="H229" s="18">
        <v>404</v>
      </c>
      <c r="I229" s="18" t="s">
        <v>361</v>
      </c>
      <c r="J229" s="101">
        <f>F213*indicemar08*0.82*frac4</f>
        <v>0</v>
      </c>
      <c r="L229" s="18">
        <v>404</v>
      </c>
      <c r="M229" s="18" t="s">
        <v>361</v>
      </c>
      <c r="N229" s="101">
        <f>F213*indicejul08*0.82*frac4</f>
        <v>0</v>
      </c>
    </row>
    <row r="230" spans="1:14" ht="12.75" hidden="1">
      <c r="A230" s="417">
        <v>4</v>
      </c>
      <c r="B230" s="257"/>
      <c r="C230" s="418"/>
      <c r="D230" s="18">
        <v>406</v>
      </c>
      <c r="E230" s="18" t="s">
        <v>20</v>
      </c>
      <c r="F230" s="101">
        <f>(F227+F228+F229+F232)*F222</f>
        <v>0</v>
      </c>
      <c r="H230" s="18">
        <v>406</v>
      </c>
      <c r="I230" s="18" t="s">
        <v>20</v>
      </c>
      <c r="J230" s="101">
        <f>(J227+J228+J229+J232)*F222</f>
        <v>0</v>
      </c>
      <c r="L230" s="18">
        <v>406</v>
      </c>
      <c r="M230" s="18" t="s">
        <v>20</v>
      </c>
      <c r="N230" s="101">
        <f>(N227+N228+N229+N232)*F222</f>
        <v>0</v>
      </c>
    </row>
    <row r="231" spans="1:14" ht="12.75" hidden="1">
      <c r="A231" s="417">
        <v>4</v>
      </c>
      <c r="B231" s="257"/>
      <c r="C231" s="418"/>
      <c r="D231" s="18">
        <v>408</v>
      </c>
      <c r="E231" s="18" t="s">
        <v>385</v>
      </c>
      <c r="F231" s="101">
        <f>(F227+F232+F228+F229)*E218</f>
        <v>0</v>
      </c>
      <c r="H231" s="18">
        <v>408</v>
      </c>
      <c r="I231" s="18" t="s">
        <v>385</v>
      </c>
      <c r="J231" s="101">
        <f>(J227+J228+J229+J232)*E218</f>
        <v>0</v>
      </c>
      <c r="L231" s="18">
        <v>408</v>
      </c>
      <c r="M231" s="18" t="s">
        <v>385</v>
      </c>
      <c r="N231" s="101">
        <f>(N227+N228+N229+N232)*E218</f>
        <v>0</v>
      </c>
    </row>
    <row r="232" spans="1:14" ht="12.75" hidden="1">
      <c r="A232" s="417">
        <v>4</v>
      </c>
      <c r="B232" s="257"/>
      <c r="C232" s="418"/>
      <c r="D232" s="18">
        <v>416</v>
      </c>
      <c r="E232" s="102" t="s">
        <v>362</v>
      </c>
      <c r="F232" s="101">
        <f>puntosproljorvarios4*proljorsep07*0.82*frac4</f>
        <v>0</v>
      </c>
      <c r="H232" s="18">
        <v>416</v>
      </c>
      <c r="I232" s="109" t="s">
        <v>362</v>
      </c>
      <c r="J232" s="101">
        <f>puntosproljorvarios4*proljormar08*0.82*frac4</f>
        <v>0</v>
      </c>
      <c r="L232" s="18">
        <v>416</v>
      </c>
      <c r="M232" s="109" t="s">
        <v>362</v>
      </c>
      <c r="N232" s="101">
        <f>puntosproljorvarios4*proljorjul08*0.82*frac4</f>
        <v>0</v>
      </c>
    </row>
    <row r="233" spans="1:14" ht="12.75" hidden="1">
      <c r="A233" s="417">
        <v>4</v>
      </c>
      <c r="B233" s="257"/>
      <c r="C233" s="418"/>
      <c r="D233" s="18">
        <v>432</v>
      </c>
      <c r="E233" s="18" t="s">
        <v>383</v>
      </c>
      <c r="F233" s="101">
        <f>cod06sep07varios4*0.82*frac4</f>
        <v>0</v>
      </c>
      <c r="H233" s="18">
        <v>432</v>
      </c>
      <c r="I233" s="18" t="s">
        <v>383</v>
      </c>
      <c r="J233" s="101">
        <f>cod06sep07varios4*0.82*frac4</f>
        <v>0</v>
      </c>
      <c r="L233" s="18">
        <v>432</v>
      </c>
      <c r="M233" s="18" t="s">
        <v>383</v>
      </c>
      <c r="N233" s="101">
        <f>cod06sep07varios4*0.82*frac4</f>
        <v>0</v>
      </c>
    </row>
    <row r="234" spans="1:14" ht="12.75" hidden="1">
      <c r="A234" s="417">
        <v>4</v>
      </c>
      <c r="B234" s="257"/>
      <c r="C234" s="418"/>
      <c r="D234" s="18">
        <v>434</v>
      </c>
      <c r="E234" s="18" t="s">
        <v>360</v>
      </c>
      <c r="F234" s="101">
        <f>(F227+F228+F229+F230+F232+F233+F231)*0.07*0.95</f>
        <v>0</v>
      </c>
      <c r="H234" s="18">
        <v>434</v>
      </c>
      <c r="I234" s="18" t="s">
        <v>360</v>
      </c>
      <c r="J234" s="101">
        <f>(J227+J228+J229+J230+J232+J233+J231)*0.07*0.95</f>
        <v>0</v>
      </c>
      <c r="L234" s="18">
        <v>434</v>
      </c>
      <c r="M234" s="18" t="s">
        <v>360</v>
      </c>
      <c r="N234" s="101">
        <f>(N227+N228+N229+N230+N232+N233+N231)*0.07*0.95</f>
        <v>0</v>
      </c>
    </row>
    <row r="235" spans="1:14" ht="12.75" hidden="1">
      <c r="A235" s="417">
        <v>4</v>
      </c>
      <c r="B235" s="257"/>
      <c r="C235" s="418"/>
      <c r="D235" s="18"/>
      <c r="E235" s="103"/>
      <c r="F235" s="232"/>
      <c r="H235" s="18"/>
      <c r="I235" s="103"/>
      <c r="J235" s="232"/>
      <c r="L235" s="18"/>
      <c r="M235" s="103"/>
      <c r="N235" s="232"/>
    </row>
    <row r="236" spans="1:14" ht="13.5" hidden="1" thickBot="1">
      <c r="A236" s="417">
        <v>4</v>
      </c>
      <c r="B236" s="257"/>
      <c r="C236" s="418"/>
      <c r="D236" s="18"/>
      <c r="E236" s="103" t="s">
        <v>381</v>
      </c>
      <c r="F236" s="131">
        <v>0</v>
      </c>
      <c r="H236" s="18"/>
      <c r="I236" s="103" t="s">
        <v>381</v>
      </c>
      <c r="J236" s="131">
        <v>0</v>
      </c>
      <c r="L236" s="18"/>
      <c r="M236" s="103" t="s">
        <v>381</v>
      </c>
      <c r="N236" s="131">
        <v>0</v>
      </c>
    </row>
    <row r="237" spans="1:14" ht="16.5" hidden="1" thickBot="1">
      <c r="A237" s="417">
        <v>4</v>
      </c>
      <c r="B237" s="257"/>
      <c r="C237" s="418"/>
      <c r="D237" s="104"/>
      <c r="E237" s="105" t="s">
        <v>21</v>
      </c>
      <c r="F237" s="106">
        <f>SUM(F227:F236)</f>
        <v>0</v>
      </c>
      <c r="H237" s="104"/>
      <c r="I237" s="105" t="s">
        <v>21</v>
      </c>
      <c r="J237" s="106">
        <f>SUM(J227:J236)</f>
        <v>0</v>
      </c>
      <c r="L237" s="104"/>
      <c r="M237" s="105" t="s">
        <v>21</v>
      </c>
      <c r="N237" s="106">
        <f>SUM(N227:N236)</f>
        <v>0</v>
      </c>
    </row>
    <row r="238" spans="1:14" ht="12.75" hidden="1">
      <c r="A238" s="417">
        <v>4</v>
      </c>
      <c r="B238" s="257"/>
      <c r="C238" s="418"/>
      <c r="D238" s="18">
        <v>703</v>
      </c>
      <c r="E238" s="107" t="s">
        <v>363</v>
      </c>
      <c r="F238" s="108">
        <f>(F237-F236)*0.0025</f>
        <v>0</v>
      </c>
      <c r="H238" s="18">
        <v>703</v>
      </c>
      <c r="I238" s="107" t="s">
        <v>363</v>
      </c>
      <c r="J238" s="108">
        <f>(J237-J236)*0.0025</f>
        <v>0</v>
      </c>
      <c r="L238" s="18">
        <v>703</v>
      </c>
      <c r="M238" s="107" t="s">
        <v>363</v>
      </c>
      <c r="N238" s="108">
        <f>(N237-N236)*0.0025</f>
        <v>0</v>
      </c>
    </row>
    <row r="239" spans="1:14" ht="12.75" hidden="1">
      <c r="A239" s="417">
        <v>4</v>
      </c>
      <c r="B239" s="257"/>
      <c r="C239" s="418"/>
      <c r="D239" s="19">
        <v>707</v>
      </c>
      <c r="E239" s="109" t="s">
        <v>23</v>
      </c>
      <c r="F239" s="17">
        <f>(F237-F236)*0.03</f>
        <v>0</v>
      </c>
      <c r="H239" s="19">
        <v>707</v>
      </c>
      <c r="I239" s="109" t="s">
        <v>23</v>
      </c>
      <c r="J239" s="17">
        <f>(J237-J236)*0.03</f>
        <v>0</v>
      </c>
      <c r="L239" s="19">
        <v>707</v>
      </c>
      <c r="M239" s="109" t="s">
        <v>23</v>
      </c>
      <c r="N239" s="17">
        <f>(N237-N236)*0.03</f>
        <v>0</v>
      </c>
    </row>
    <row r="240" spans="1:14" ht="12.75" hidden="1">
      <c r="A240" s="417">
        <v>4</v>
      </c>
      <c r="B240" s="257"/>
      <c r="C240" s="418"/>
      <c r="D240" s="19">
        <v>709</v>
      </c>
      <c r="E240" s="109" t="s">
        <v>24</v>
      </c>
      <c r="F240" s="17">
        <f>(F237-F236)*0.0213</f>
        <v>0</v>
      </c>
      <c r="H240" s="19">
        <v>709</v>
      </c>
      <c r="I240" s="109" t="s">
        <v>24</v>
      </c>
      <c r="J240" s="17">
        <f>(J237-J236)*0.0213</f>
        <v>0</v>
      </c>
      <c r="L240" s="19">
        <v>709</v>
      </c>
      <c r="M240" s="109" t="s">
        <v>24</v>
      </c>
      <c r="N240" s="17">
        <f>(N237-N236)*0.0213</f>
        <v>0</v>
      </c>
    </row>
    <row r="241" spans="1:14" ht="12.75" hidden="1">
      <c r="A241" s="417">
        <v>4</v>
      </c>
      <c r="B241" s="257"/>
      <c r="C241" s="418"/>
      <c r="D241" s="16">
        <v>710</v>
      </c>
      <c r="E241" s="109" t="s">
        <v>25</v>
      </c>
      <c r="F241" s="17">
        <f>(F237-F236)*0.00754</f>
        <v>0</v>
      </c>
      <c r="H241" s="16">
        <v>710</v>
      </c>
      <c r="I241" s="109" t="s">
        <v>25</v>
      </c>
      <c r="J241" s="17">
        <f>(J237-J236)*0.00754</f>
        <v>0</v>
      </c>
      <c r="L241" s="16">
        <v>710</v>
      </c>
      <c r="M241" s="109" t="s">
        <v>25</v>
      </c>
      <c r="N241" s="17">
        <f>(N237-N236)*0.00754</f>
        <v>0</v>
      </c>
    </row>
    <row r="242" spans="1:14" ht="12.75" hidden="1">
      <c r="A242" s="417">
        <v>4</v>
      </c>
      <c r="B242" s="257"/>
      <c r="C242" s="418"/>
      <c r="D242" s="16">
        <v>713</v>
      </c>
      <c r="E242" s="109" t="s">
        <v>26</v>
      </c>
      <c r="F242" s="17">
        <f>(F237-F236)*0.007</f>
        <v>0</v>
      </c>
      <c r="H242" s="16">
        <v>713</v>
      </c>
      <c r="I242" s="109" t="s">
        <v>26</v>
      </c>
      <c r="J242" s="17">
        <f>(J237-J236)*0.007</f>
        <v>0</v>
      </c>
      <c r="L242" s="16">
        <v>713</v>
      </c>
      <c r="M242" s="109" t="s">
        <v>26</v>
      </c>
      <c r="N242" s="17">
        <f>(N237-N236)*0.007</f>
        <v>0</v>
      </c>
    </row>
    <row r="243" spans="1:14" ht="13.5" hidden="1" thickBot="1">
      <c r="A243" s="417">
        <v>4</v>
      </c>
      <c r="B243" s="257"/>
      <c r="C243" s="418"/>
      <c r="D243" s="16"/>
      <c r="E243" s="110" t="s">
        <v>27</v>
      </c>
      <c r="F243" s="50">
        <v>0</v>
      </c>
      <c r="H243" s="16"/>
      <c r="I243" s="110" t="s">
        <v>27</v>
      </c>
      <c r="J243" s="50">
        <v>0</v>
      </c>
      <c r="L243" s="16"/>
      <c r="M243" s="110" t="s">
        <v>27</v>
      </c>
      <c r="N243" s="50">
        <v>0</v>
      </c>
    </row>
    <row r="244" spans="1:14" ht="16.5" hidden="1" thickBot="1">
      <c r="A244" s="417">
        <v>4</v>
      </c>
      <c r="B244" s="257"/>
      <c r="C244" s="418"/>
      <c r="D244" s="111"/>
      <c r="E244" s="105" t="s">
        <v>28</v>
      </c>
      <c r="F244" s="106">
        <f>SUM(F238:F243)</f>
        <v>0</v>
      </c>
      <c r="H244" s="111"/>
      <c r="I244" s="105" t="s">
        <v>28</v>
      </c>
      <c r="J244" s="106">
        <f>SUM(J238:J243)</f>
        <v>0</v>
      </c>
      <c r="L244" s="111"/>
      <c r="M244" s="105" t="s">
        <v>28</v>
      </c>
      <c r="N244" s="106">
        <f>SUM(N238:N243)</f>
        <v>0</v>
      </c>
    </row>
    <row r="245" spans="1:14" ht="13.5" hidden="1" thickBot="1">
      <c r="A245" s="417">
        <v>4</v>
      </c>
      <c r="B245" s="257"/>
      <c r="C245" s="418"/>
      <c r="D245" s="112"/>
      <c r="E245" s="113"/>
      <c r="F245" s="114"/>
      <c r="H245" s="112"/>
      <c r="I245" s="113"/>
      <c r="J245" s="114"/>
      <c r="L245" s="112"/>
      <c r="M245" s="113"/>
      <c r="N245" s="114"/>
    </row>
    <row r="246" spans="1:14" ht="16.5" hidden="1" thickBot="1">
      <c r="A246" s="417">
        <v>4</v>
      </c>
      <c r="B246" s="258"/>
      <c r="C246" s="418"/>
      <c r="D246" s="115"/>
      <c r="E246" s="116" t="s">
        <v>29</v>
      </c>
      <c r="F246" s="117">
        <f>F237-F244</f>
        <v>0</v>
      </c>
      <c r="H246" s="115"/>
      <c r="I246" s="116" t="s">
        <v>29</v>
      </c>
      <c r="J246" s="117">
        <f>J237-J244</f>
        <v>0</v>
      </c>
      <c r="L246" s="115"/>
      <c r="M246" s="116" t="s">
        <v>29</v>
      </c>
      <c r="N246" s="117">
        <f>N237-N244</f>
        <v>0</v>
      </c>
    </row>
    <row r="247" spans="1:10" s="364" customFormat="1" ht="15.75" hidden="1">
      <c r="A247" s="417">
        <v>4</v>
      </c>
      <c r="B247" s="257"/>
      <c r="C247" s="421"/>
      <c r="D247" s="12"/>
      <c r="E247" s="79"/>
      <c r="F247" s="368"/>
      <c r="G247" s="12"/>
      <c r="H247" s="12"/>
      <c r="I247" s="79"/>
      <c r="J247" s="368"/>
    </row>
    <row r="248" spans="1:16" s="364" customFormat="1" ht="15.75" hidden="1">
      <c r="A248" s="417">
        <v>4</v>
      </c>
      <c r="B248" s="257"/>
      <c r="C248" s="421"/>
      <c r="D248" s="79"/>
      <c r="E248" s="12"/>
      <c r="F248" s="369"/>
      <c r="G248" s="12"/>
      <c r="H248" s="79"/>
      <c r="I248" s="298" t="s">
        <v>476</v>
      </c>
      <c r="J248" s="299">
        <f>J246-F246</f>
        <v>0</v>
      </c>
      <c r="K248"/>
      <c r="L248"/>
      <c r="M248" s="298" t="s">
        <v>474</v>
      </c>
      <c r="N248" s="299">
        <f>N246-J246</f>
        <v>0</v>
      </c>
      <c r="O248" s="377" t="s">
        <v>472</v>
      </c>
      <c r="P248" s="378">
        <f>N246-F246</f>
        <v>0</v>
      </c>
    </row>
    <row r="249" spans="1:16" s="364" customFormat="1" ht="15.75" hidden="1">
      <c r="A249" s="417">
        <v>4</v>
      </c>
      <c r="B249" s="257"/>
      <c r="C249" s="257"/>
      <c r="D249" s="370"/>
      <c r="E249" s="371"/>
      <c r="F249" s="372"/>
      <c r="G249" s="12"/>
      <c r="H249" s="370"/>
      <c r="I249" s="298" t="s">
        <v>477</v>
      </c>
      <c r="J249" s="300" t="e">
        <f>J248/F246</f>
        <v>#DIV/0!</v>
      </c>
      <c r="K249"/>
      <c r="L249"/>
      <c r="M249" s="298" t="s">
        <v>475</v>
      </c>
      <c r="N249" s="300" t="e">
        <f>N248/J246</f>
        <v>#DIV/0!</v>
      </c>
      <c r="O249" s="377" t="s">
        <v>473</v>
      </c>
      <c r="P249" s="379" t="e">
        <f>P248/F246</f>
        <v>#DIV/0!</v>
      </c>
    </row>
    <row r="250" spans="1:15" ht="15.75">
      <c r="A250" s="417">
        <v>4</v>
      </c>
      <c r="B250" s="258"/>
      <c r="C250" s="258"/>
      <c r="D250" s="422"/>
      <c r="E250" s="423"/>
      <c r="F250" s="424"/>
      <c r="G250" s="258"/>
      <c r="H250" s="422"/>
      <c r="I250" s="423"/>
      <c r="J250" s="424"/>
      <c r="K250" s="418"/>
      <c r="L250" s="418"/>
      <c r="M250" s="418"/>
      <c r="N250" s="418"/>
      <c r="O250" s="418"/>
    </row>
    <row r="251" spans="1:17" ht="15.75" hidden="1">
      <c r="A251" s="417">
        <v>4</v>
      </c>
      <c r="B251" s="258"/>
      <c r="C251" s="422"/>
      <c r="D251" s="425"/>
      <c r="E251" s="426"/>
      <c r="F251" s="258"/>
      <c r="G251" s="422"/>
      <c r="H251" s="427"/>
      <c r="I251" s="428"/>
      <c r="J251" s="428"/>
      <c r="K251" s="428"/>
      <c r="L251" s="428"/>
      <c r="M251" s="258"/>
      <c r="N251" s="420"/>
      <c r="O251" s="257"/>
      <c r="P251" s="11"/>
      <c r="Q251" s="11"/>
    </row>
    <row r="252" spans="1:17" ht="12.75">
      <c r="A252">
        <v>4</v>
      </c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5"/>
      <c r="N252" s="12"/>
      <c r="O252" s="119"/>
      <c r="P252" s="11"/>
      <c r="Q252" s="11"/>
    </row>
    <row r="253" spans="2:17" ht="26.25">
      <c r="B253" s="11"/>
      <c r="C253" s="11"/>
      <c r="E253" s="11"/>
      <c r="F253" s="11"/>
      <c r="G253" s="444" t="s">
        <v>411</v>
      </c>
      <c r="H253" s="11"/>
      <c r="I253" s="11"/>
      <c r="J253" s="11"/>
      <c r="K253" s="11"/>
      <c r="L253" s="11"/>
      <c r="M253" s="15"/>
      <c r="N253" s="12"/>
      <c r="O253" s="119"/>
      <c r="P253" s="11"/>
      <c r="Q253" s="11"/>
    </row>
    <row r="254" spans="2:17" ht="13.5" thickBot="1"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5"/>
      <c r="N254" s="12"/>
      <c r="O254" s="119"/>
      <c r="P254" s="11"/>
      <c r="Q254" s="11"/>
    </row>
    <row r="255" spans="6:12" ht="21" thickBot="1">
      <c r="F255" s="262" t="s">
        <v>412</v>
      </c>
      <c r="G255" s="263"/>
      <c r="H255" s="264"/>
      <c r="I255" s="265">
        <f>H27+H87+H151+H216</f>
        <v>120</v>
      </c>
      <c r="J255" s="266" t="s">
        <v>413</v>
      </c>
      <c r="K255" s="285"/>
      <c r="L255" s="285"/>
    </row>
    <row r="257" spans="4:14" ht="18">
      <c r="D257" s="11"/>
      <c r="E257" s="433" t="s">
        <v>455</v>
      </c>
      <c r="F257" s="11"/>
      <c r="G257" s="201"/>
      <c r="H257" s="11"/>
      <c r="I257" s="433" t="s">
        <v>463</v>
      </c>
      <c r="J257" s="11"/>
      <c r="L257" s="11"/>
      <c r="M257" s="433" t="s">
        <v>478</v>
      </c>
      <c r="N257" s="11"/>
    </row>
    <row r="258" spans="2:16" ht="12.75">
      <c r="B258" s="2"/>
      <c r="C258" s="11"/>
      <c r="D258" s="18">
        <v>400</v>
      </c>
      <c r="E258" s="18" t="s">
        <v>19</v>
      </c>
      <c r="F258" s="101">
        <f>F37+F98+F162+F227</f>
        <v>394.1289</v>
      </c>
      <c r="H258" s="18">
        <v>400</v>
      </c>
      <c r="I258" s="18" t="s">
        <v>19</v>
      </c>
      <c r="J258" s="101">
        <f>J37+J98+J162+J227</f>
        <v>469.7698</v>
      </c>
      <c r="K258" s="447">
        <f>J258-F258</f>
        <v>75.64089999999999</v>
      </c>
      <c r="L258" s="18">
        <v>400</v>
      </c>
      <c r="M258" s="18" t="s">
        <v>19</v>
      </c>
      <c r="N258" s="101">
        <f>N37+N98+N162+N227</f>
        <v>501.61859999999996</v>
      </c>
      <c r="O258" s="447">
        <f>N258-J258</f>
        <v>31.848799999999983</v>
      </c>
      <c r="P258" s="452">
        <f>N258-F258</f>
        <v>107.48969999999997</v>
      </c>
    </row>
    <row r="259" spans="2:16" ht="12.75">
      <c r="B259" s="2"/>
      <c r="C259" s="11"/>
      <c r="D259" s="18" t="s">
        <v>468</v>
      </c>
      <c r="E259" s="18" t="s">
        <v>454</v>
      </c>
      <c r="F259" s="101">
        <f>F38+F99+F163+F228</f>
        <v>0</v>
      </c>
      <c r="H259" s="18" t="s">
        <v>468</v>
      </c>
      <c r="I259" s="18" t="s">
        <v>454</v>
      </c>
      <c r="J259" s="101">
        <f>J38+J99+J163+J228</f>
        <v>82.246</v>
      </c>
      <c r="K259" s="447">
        <f aca="true" t="shared" si="24" ref="K259:K276">J259-F259</f>
        <v>82.246</v>
      </c>
      <c r="L259" s="18" t="s">
        <v>468</v>
      </c>
      <c r="M259" s="18" t="s">
        <v>454</v>
      </c>
      <c r="N259" s="101">
        <f>N38+N99+N163+N228</f>
        <v>87.82199999999999</v>
      </c>
      <c r="O259" s="447">
        <f aca="true" t="shared" si="25" ref="O259:P276">N259-J259</f>
        <v>5.575999999999993</v>
      </c>
      <c r="P259" s="453">
        <f aca="true" t="shared" si="26" ref="P259:P266">N259-F259</f>
        <v>87.82199999999999</v>
      </c>
    </row>
    <row r="260" spans="2:16" ht="12.75">
      <c r="B260" s="2"/>
      <c r="C260" s="11"/>
      <c r="D260" s="18">
        <v>404</v>
      </c>
      <c r="E260" s="18" t="s">
        <v>361</v>
      </c>
      <c r="F260" s="101">
        <f>F39+F100+F164+F229</f>
        <v>0</v>
      </c>
      <c r="H260" s="18">
        <v>404</v>
      </c>
      <c r="I260" s="18" t="s">
        <v>361</v>
      </c>
      <c r="J260" s="101">
        <f>J39+J100+J164+J229</f>
        <v>0</v>
      </c>
      <c r="K260" s="447">
        <f t="shared" si="24"/>
        <v>0</v>
      </c>
      <c r="L260" s="18">
        <v>404</v>
      </c>
      <c r="M260" s="18" t="s">
        <v>361</v>
      </c>
      <c r="N260" s="101">
        <f>N39+N100+N164+N229</f>
        <v>0</v>
      </c>
      <c r="O260" s="447">
        <f t="shared" si="25"/>
        <v>0</v>
      </c>
      <c r="P260" s="453">
        <f t="shared" si="26"/>
        <v>0</v>
      </c>
    </row>
    <row r="261" spans="2:16" ht="12.75">
      <c r="B261" s="2"/>
      <c r="C261" s="11"/>
      <c r="D261" s="18">
        <v>406</v>
      </c>
      <c r="E261" s="18" t="s">
        <v>20</v>
      </c>
      <c r="F261" s="101">
        <f>F40+F101+F165+F230</f>
        <v>472.95467999999994</v>
      </c>
      <c r="H261" s="18">
        <v>406</v>
      </c>
      <c r="I261" s="18" t="s">
        <v>20</v>
      </c>
      <c r="J261" s="101">
        <f>J40+J101+J165+J230</f>
        <v>662.41896</v>
      </c>
      <c r="K261" s="447">
        <f t="shared" si="24"/>
        <v>189.46428000000003</v>
      </c>
      <c r="L261" s="18">
        <v>406</v>
      </c>
      <c r="M261" s="18" t="s">
        <v>20</v>
      </c>
      <c r="N261" s="101">
        <f>N40+N101+N165+N230</f>
        <v>707.3287199999999</v>
      </c>
      <c r="O261" s="447">
        <f t="shared" si="25"/>
        <v>44.90975999999989</v>
      </c>
      <c r="P261" s="453">
        <f t="shared" si="26"/>
        <v>234.37403999999992</v>
      </c>
    </row>
    <row r="262" spans="2:16" ht="12.75">
      <c r="B262" s="2"/>
      <c r="C262" s="11"/>
      <c r="D262" s="18">
        <v>408</v>
      </c>
      <c r="E262" s="18" t="s">
        <v>385</v>
      </c>
      <c r="F262" s="101">
        <f>F41+F102+F166+F231</f>
        <v>0</v>
      </c>
      <c r="H262" s="18">
        <v>408</v>
      </c>
      <c r="I262" s="18" t="s">
        <v>385</v>
      </c>
      <c r="J262" s="101">
        <f>J41+J102+J166+J231</f>
        <v>0</v>
      </c>
      <c r="K262" s="447">
        <f t="shared" si="24"/>
        <v>0</v>
      </c>
      <c r="L262" s="18">
        <v>408</v>
      </c>
      <c r="M262" s="18" t="s">
        <v>385</v>
      </c>
      <c r="N262" s="101">
        <f>N41+N102+N166+N231</f>
        <v>0</v>
      </c>
      <c r="O262" s="447">
        <f t="shared" si="25"/>
        <v>0</v>
      </c>
      <c r="P262" s="453">
        <f t="shared" si="26"/>
        <v>0</v>
      </c>
    </row>
    <row r="263" spans="2:16" ht="12.75">
      <c r="B263" s="2"/>
      <c r="C263" s="15"/>
      <c r="D263" s="18">
        <v>416</v>
      </c>
      <c r="E263" s="102" t="s">
        <v>362</v>
      </c>
      <c r="F263" s="101">
        <f>F42+F103+F167+F232</f>
        <v>0</v>
      </c>
      <c r="H263" s="18">
        <v>416</v>
      </c>
      <c r="I263" s="109" t="s">
        <v>362</v>
      </c>
      <c r="J263" s="101">
        <f>J42+J103+J167+J232</f>
        <v>0</v>
      </c>
      <c r="K263" s="447">
        <f t="shared" si="24"/>
        <v>0</v>
      </c>
      <c r="L263" s="18">
        <v>416</v>
      </c>
      <c r="M263" s="109" t="s">
        <v>362</v>
      </c>
      <c r="N263" s="101">
        <f>N42+N103+N167+N232</f>
        <v>0</v>
      </c>
      <c r="O263" s="447">
        <f t="shared" si="25"/>
        <v>0</v>
      </c>
      <c r="P263" s="453">
        <f t="shared" si="26"/>
        <v>0</v>
      </c>
    </row>
    <row r="264" spans="2:16" ht="12.75">
      <c r="B264" s="2"/>
      <c r="C264" s="15"/>
      <c r="D264" s="18">
        <v>432</v>
      </c>
      <c r="E264" s="18" t="s">
        <v>383</v>
      </c>
      <c r="F264" s="101">
        <f>F43+F104+F168+F233</f>
        <v>508.4</v>
      </c>
      <c r="H264" s="18">
        <v>432</v>
      </c>
      <c r="I264" s="18" t="s">
        <v>383</v>
      </c>
      <c r="J264" s="101">
        <f>J43+J104+J168+J233</f>
        <v>508.4</v>
      </c>
      <c r="K264" s="447">
        <f t="shared" si="24"/>
        <v>0</v>
      </c>
      <c r="L264" s="18">
        <v>432</v>
      </c>
      <c r="M264" s="18" t="s">
        <v>383</v>
      </c>
      <c r="N264" s="101">
        <f>N43+N104+N168+N233</f>
        <v>508.4</v>
      </c>
      <c r="O264" s="447">
        <f t="shared" si="25"/>
        <v>0</v>
      </c>
      <c r="P264" s="453">
        <f t="shared" si="26"/>
        <v>0</v>
      </c>
    </row>
    <row r="265" spans="2:16" ht="12.75">
      <c r="B265" s="2"/>
      <c r="C265" s="15"/>
      <c r="D265" s="18">
        <v>434</v>
      </c>
      <c r="E265" s="18" t="s">
        <v>360</v>
      </c>
      <c r="F265" s="101">
        <f>F44+F105+F169+F234</f>
        <v>91.46965807000001</v>
      </c>
      <c r="H265" s="18">
        <v>434</v>
      </c>
      <c r="I265" s="18" t="s">
        <v>360</v>
      </c>
      <c r="J265" s="101">
        <f>J44+J105+J169+J234</f>
        <v>114.56851154000002</v>
      </c>
      <c r="K265" s="447">
        <f t="shared" si="24"/>
        <v>23.09885347000001</v>
      </c>
      <c r="L265" s="18">
        <v>434</v>
      </c>
      <c r="M265" s="18" t="s">
        <v>360</v>
      </c>
      <c r="N265" s="101">
        <f>N44+N105+N169+N234</f>
        <v>120.04375978</v>
      </c>
      <c r="O265" s="447">
        <f t="shared" si="25"/>
        <v>5.475248239999985</v>
      </c>
      <c r="P265" s="453">
        <f t="shared" si="26"/>
        <v>28.574101709999994</v>
      </c>
    </row>
    <row r="266" spans="2:16" ht="13.5" thickBot="1">
      <c r="B266" s="2"/>
      <c r="C266" s="15"/>
      <c r="D266" s="18"/>
      <c r="E266" s="103" t="s">
        <v>381</v>
      </c>
      <c r="F266" s="443">
        <f>F46+F107+F171+F236</f>
        <v>0</v>
      </c>
      <c r="H266" s="18"/>
      <c r="I266" s="103" t="s">
        <v>381</v>
      </c>
      <c r="J266" s="373">
        <f>F266</f>
        <v>0</v>
      </c>
      <c r="K266" s="447">
        <f t="shared" si="24"/>
        <v>0</v>
      </c>
      <c r="L266" s="18"/>
      <c r="M266" s="103" t="s">
        <v>381</v>
      </c>
      <c r="N266" s="373">
        <f>J266</f>
        <v>0</v>
      </c>
      <c r="O266" s="447">
        <f t="shared" si="25"/>
        <v>0</v>
      </c>
      <c r="P266" s="453">
        <f t="shared" si="26"/>
        <v>0</v>
      </c>
    </row>
    <row r="267" spans="2:16" ht="13.5" thickBot="1">
      <c r="B267" s="2"/>
      <c r="C267" s="15"/>
      <c r="D267" s="104"/>
      <c r="E267" s="105" t="s">
        <v>21</v>
      </c>
      <c r="F267" s="375">
        <f>SUM(F258:F266)</f>
        <v>1466.95323807</v>
      </c>
      <c r="H267" s="104"/>
      <c r="I267" s="105" t="s">
        <v>21</v>
      </c>
      <c r="J267" s="375">
        <f>SUM(J258:J266)</f>
        <v>1837.40327154</v>
      </c>
      <c r="K267" s="448">
        <f t="shared" si="24"/>
        <v>370.4500334700001</v>
      </c>
      <c r="L267" s="104"/>
      <c r="M267" s="105" t="s">
        <v>21</v>
      </c>
      <c r="N267" s="375">
        <f>SUM(N258:N266)</f>
        <v>1925.21307978</v>
      </c>
      <c r="O267" s="451">
        <f t="shared" si="25"/>
        <v>87.80980823999994</v>
      </c>
      <c r="P267" s="454">
        <f>N267-F267</f>
        <v>458.25984171000005</v>
      </c>
    </row>
    <row r="268" spans="2:17" ht="12.75">
      <c r="B268" s="2"/>
      <c r="C268" s="15"/>
      <c r="D268" s="18">
        <v>703</v>
      </c>
      <c r="E268" s="107" t="s">
        <v>363</v>
      </c>
      <c r="F268" s="17">
        <f>F48+F109+F173+F238</f>
        <v>3.667383095175</v>
      </c>
      <c r="H268" s="18">
        <v>703</v>
      </c>
      <c r="I268" s="107" t="s">
        <v>363</v>
      </c>
      <c r="J268" s="17">
        <f>J48+J109+J173+J238</f>
        <v>4.5935081788500005</v>
      </c>
      <c r="K268" s="446">
        <f t="shared" si="24"/>
        <v>0.9261250836750006</v>
      </c>
      <c r="L268" s="18">
        <v>703</v>
      </c>
      <c r="M268" s="107" t="s">
        <v>363</v>
      </c>
      <c r="N268" s="17">
        <f>N48+N109+N173+N238</f>
        <v>4.81303269945</v>
      </c>
      <c r="O268" s="446">
        <f t="shared" si="25"/>
        <v>0.21952452059999938</v>
      </c>
      <c r="P268" s="455">
        <f aca="true" t="shared" si="27" ref="P268:P276">N268-F268</f>
        <v>1.145649604275</v>
      </c>
      <c r="Q268" s="450"/>
    </row>
    <row r="269" spans="2:17" ht="12.75">
      <c r="B269" s="2"/>
      <c r="C269" s="15"/>
      <c r="D269" s="19">
        <v>707</v>
      </c>
      <c r="E269" s="109" t="s">
        <v>23</v>
      </c>
      <c r="F269" s="17">
        <f>F49+F110+F174+F239</f>
        <v>44.0085971421</v>
      </c>
      <c r="H269" s="19">
        <v>707</v>
      </c>
      <c r="I269" s="109" t="s">
        <v>23</v>
      </c>
      <c r="J269" s="17">
        <f>J49+J110+J174+J239</f>
        <v>55.1220981462</v>
      </c>
      <c r="K269" s="446">
        <f t="shared" si="24"/>
        <v>11.113501004100002</v>
      </c>
      <c r="L269" s="19">
        <v>707</v>
      </c>
      <c r="M269" s="109" t="s">
        <v>23</v>
      </c>
      <c r="N269" s="17">
        <f>N49+N110+N174+N239</f>
        <v>57.7563923934</v>
      </c>
      <c r="O269" s="446">
        <f t="shared" si="25"/>
        <v>2.634294247199996</v>
      </c>
      <c r="P269" s="455">
        <f t="shared" si="27"/>
        <v>13.747795251299998</v>
      </c>
      <c r="Q269" s="450"/>
    </row>
    <row r="270" spans="2:17" ht="12.75">
      <c r="B270" s="2"/>
      <c r="C270" s="15"/>
      <c r="D270" s="19">
        <v>709</v>
      </c>
      <c r="E270" s="109" t="s">
        <v>24</v>
      </c>
      <c r="F270" s="17">
        <f>F50+F111+F175+F240</f>
        <v>31.246103970891</v>
      </c>
      <c r="H270" s="19">
        <v>709</v>
      </c>
      <c r="I270" s="109" t="s">
        <v>24</v>
      </c>
      <c r="J270" s="17">
        <f>J50+J111+J175+J240</f>
        <v>39.136689683802004</v>
      </c>
      <c r="K270" s="446">
        <f t="shared" si="24"/>
        <v>7.890585712911005</v>
      </c>
      <c r="L270" s="19">
        <v>709</v>
      </c>
      <c r="M270" s="109" t="s">
        <v>24</v>
      </c>
      <c r="N270" s="17">
        <f>N50+N111+N175+N240</f>
        <v>41.007038599314</v>
      </c>
      <c r="O270" s="446">
        <f t="shared" si="25"/>
        <v>1.8703489155119968</v>
      </c>
      <c r="P270" s="455">
        <f t="shared" si="27"/>
        <v>9.760934628423001</v>
      </c>
      <c r="Q270" s="450"/>
    </row>
    <row r="271" spans="2:17" ht="12.75">
      <c r="B271" s="2"/>
      <c r="C271" s="15"/>
      <c r="D271" s="16">
        <v>710</v>
      </c>
      <c r="E271" s="109" t="s">
        <v>25</v>
      </c>
      <c r="F271" s="17">
        <f>F51+F112+F176+F241</f>
        <v>11.0608274150478</v>
      </c>
      <c r="H271" s="16">
        <v>710</v>
      </c>
      <c r="I271" s="109" t="s">
        <v>25</v>
      </c>
      <c r="J271" s="17">
        <f>J51+J112+J176+J241</f>
        <v>13.8540206674116</v>
      </c>
      <c r="K271" s="446">
        <f t="shared" si="24"/>
        <v>2.7931932523637997</v>
      </c>
      <c r="L271" s="16">
        <v>710</v>
      </c>
      <c r="M271" s="109" t="s">
        <v>25</v>
      </c>
      <c r="N271" s="17">
        <f>N51+N112+N176+N241</f>
        <v>14.5161066215412</v>
      </c>
      <c r="O271" s="446">
        <f t="shared" si="25"/>
        <v>0.6620859541295996</v>
      </c>
      <c r="P271" s="455">
        <f t="shared" si="27"/>
        <v>3.4552792064933993</v>
      </c>
      <c r="Q271" s="450"/>
    </row>
    <row r="272" spans="2:17" ht="12.75">
      <c r="B272" s="2"/>
      <c r="C272" s="11"/>
      <c r="D272" s="16">
        <v>713</v>
      </c>
      <c r="E272" s="109" t="s">
        <v>26</v>
      </c>
      <c r="F272" s="17">
        <f>F52+F113+F177+F242</f>
        <v>10.26867266649</v>
      </c>
      <c r="H272" s="16">
        <v>713</v>
      </c>
      <c r="I272" s="109" t="s">
        <v>26</v>
      </c>
      <c r="J272" s="17">
        <f>J52+J113+J177+J242</f>
        <v>12.861822900780002</v>
      </c>
      <c r="K272" s="446">
        <f t="shared" si="24"/>
        <v>2.593150234290002</v>
      </c>
      <c r="L272" s="16">
        <v>713</v>
      </c>
      <c r="M272" s="109" t="s">
        <v>26</v>
      </c>
      <c r="N272" s="17">
        <f>N52+N113+N177+N242</f>
        <v>13.476491558460001</v>
      </c>
      <c r="O272" s="446">
        <f t="shared" si="25"/>
        <v>0.6146686576799993</v>
      </c>
      <c r="P272" s="455">
        <f t="shared" si="27"/>
        <v>3.2078188919700015</v>
      </c>
      <c r="Q272" s="450"/>
    </row>
    <row r="273" spans="2:17" ht="13.5" thickBot="1">
      <c r="B273" s="2"/>
      <c r="C273" s="233"/>
      <c r="D273" s="16"/>
      <c r="E273" s="110" t="s">
        <v>27</v>
      </c>
      <c r="F273" s="445">
        <f>F53+F114+F178+F243</f>
        <v>0</v>
      </c>
      <c r="H273" s="16"/>
      <c r="I273" s="110" t="s">
        <v>27</v>
      </c>
      <c r="J273" s="17">
        <f>F273</f>
        <v>0</v>
      </c>
      <c r="K273" s="446">
        <f t="shared" si="24"/>
        <v>0</v>
      </c>
      <c r="L273" s="16"/>
      <c r="M273" s="110" t="s">
        <v>27</v>
      </c>
      <c r="N273" s="17">
        <f>J273</f>
        <v>0</v>
      </c>
      <c r="O273" s="446">
        <f t="shared" si="25"/>
        <v>0</v>
      </c>
      <c r="P273" s="455">
        <f t="shared" si="27"/>
        <v>0</v>
      </c>
      <c r="Q273" s="450"/>
    </row>
    <row r="274" spans="2:17" ht="13.5" thickBot="1">
      <c r="B274" s="2"/>
      <c r="C274" s="233"/>
      <c r="D274" s="111"/>
      <c r="E274" s="105" t="s">
        <v>28</v>
      </c>
      <c r="F274" s="374">
        <f>SUM(F268:F273)</f>
        <v>100.2515842897038</v>
      </c>
      <c r="H274" s="111"/>
      <c r="I274" s="105" t="s">
        <v>28</v>
      </c>
      <c r="J274" s="374">
        <f>SUM(J268:J273)</f>
        <v>125.56813957704361</v>
      </c>
      <c r="K274" s="446">
        <f t="shared" si="24"/>
        <v>25.31655528733981</v>
      </c>
      <c r="L274" s="111"/>
      <c r="M274" s="105" t="s">
        <v>28</v>
      </c>
      <c r="N274" s="374">
        <f>SUM(N268:N273)</f>
        <v>131.5690618721652</v>
      </c>
      <c r="O274" s="446">
        <f t="shared" si="25"/>
        <v>6.0009222951215975</v>
      </c>
      <c r="P274" s="455">
        <f t="shared" si="27"/>
        <v>31.317477582461407</v>
      </c>
      <c r="Q274" s="450"/>
    </row>
    <row r="275" spans="2:17" ht="13.5" thickBot="1">
      <c r="B275" s="2"/>
      <c r="C275" s="233"/>
      <c r="D275" s="112"/>
      <c r="E275" s="113"/>
      <c r="F275" s="101"/>
      <c r="H275" s="112"/>
      <c r="I275" s="113"/>
      <c r="J275" s="101"/>
      <c r="K275" s="446">
        <f t="shared" si="24"/>
        <v>0</v>
      </c>
      <c r="L275" s="112"/>
      <c r="M275" s="113"/>
      <c r="N275" s="101"/>
      <c r="O275" s="446">
        <f t="shared" si="25"/>
        <v>0</v>
      </c>
      <c r="P275" s="455">
        <f t="shared" si="27"/>
        <v>0</v>
      </c>
      <c r="Q275" s="450"/>
    </row>
    <row r="276" spans="2:17" ht="16.5" thickBot="1">
      <c r="B276" s="2"/>
      <c r="C276" s="234"/>
      <c r="D276" s="115"/>
      <c r="E276" s="116" t="s">
        <v>29</v>
      </c>
      <c r="F276" s="376">
        <f>F267-F274</f>
        <v>1366.7016537802963</v>
      </c>
      <c r="H276" s="115"/>
      <c r="I276" s="116" t="s">
        <v>29</v>
      </c>
      <c r="J276" s="376">
        <f>J267-J274</f>
        <v>1711.8351319629564</v>
      </c>
      <c r="K276" s="449">
        <f t="shared" si="24"/>
        <v>345.13347818266016</v>
      </c>
      <c r="L276" s="115"/>
      <c r="M276" s="116" t="s">
        <v>29</v>
      </c>
      <c r="N276" s="376">
        <f>N267-N274</f>
        <v>1793.644017907835</v>
      </c>
      <c r="O276" s="449">
        <f t="shared" si="25"/>
        <v>81.80888594487851</v>
      </c>
      <c r="P276" s="456">
        <f t="shared" si="27"/>
        <v>426.94236412753867</v>
      </c>
      <c r="Q276" s="450"/>
    </row>
    <row r="277" spans="2:10" ht="12.75">
      <c r="B277" s="11"/>
      <c r="C277" s="11"/>
      <c r="D277" s="4"/>
      <c r="E277" s="281"/>
      <c r="F277" s="3"/>
      <c r="G277" s="11"/>
      <c r="H277" s="4"/>
      <c r="I277" s="281"/>
      <c r="J277" s="3"/>
    </row>
    <row r="278" spans="2:16" ht="15.75">
      <c r="B278" s="11"/>
      <c r="C278" s="11"/>
      <c r="D278" s="4"/>
      <c r="E278" s="281"/>
      <c r="F278" s="3"/>
      <c r="G278" s="11"/>
      <c r="H278" s="4"/>
      <c r="I278" s="298" t="s">
        <v>476</v>
      </c>
      <c r="J278" s="299">
        <f>J276-F276</f>
        <v>345.13347818266016</v>
      </c>
      <c r="M278" s="298" t="s">
        <v>474</v>
      </c>
      <c r="N278" s="299">
        <f>N276-J276</f>
        <v>81.80888594487851</v>
      </c>
      <c r="O278" s="377" t="s">
        <v>472</v>
      </c>
      <c r="P278" s="378">
        <f>N276-F276</f>
        <v>426.94236412753867</v>
      </c>
    </row>
    <row r="279" spans="2:16" ht="15.75">
      <c r="B279" s="11"/>
      <c r="C279" s="11"/>
      <c r="D279" s="4"/>
      <c r="E279" s="281"/>
      <c r="F279" s="3"/>
      <c r="G279" s="11"/>
      <c r="H279" s="4"/>
      <c r="I279" s="298" t="s">
        <v>477</v>
      </c>
      <c r="J279" s="300">
        <f>J278/F276</f>
        <v>0.25253022649677864</v>
      </c>
      <c r="M279" s="298" t="s">
        <v>475</v>
      </c>
      <c r="N279" s="300">
        <f>N278/J276</f>
        <v>0.04779016648120108</v>
      </c>
      <c r="O279" s="377" t="s">
        <v>473</v>
      </c>
      <c r="P279" s="379">
        <f>P278/F276</f>
        <v>0.31238885454379617</v>
      </c>
    </row>
    <row r="280" spans="2:17" ht="15.75">
      <c r="B280" s="118"/>
      <c r="C280" s="237"/>
      <c r="D280" s="238"/>
      <c r="E280" s="239"/>
      <c r="F280" s="118"/>
      <c r="G280" s="237"/>
      <c r="H280" s="240"/>
      <c r="I280" s="241"/>
      <c r="J280" s="241"/>
      <c r="K280" s="241"/>
      <c r="L280" s="241"/>
      <c r="M280" s="11"/>
      <c r="N280" s="79"/>
      <c r="O280" s="12"/>
      <c r="P280" s="11"/>
      <c r="Q280" s="11"/>
    </row>
    <row r="281" spans="2:17" ht="15.75" hidden="1">
      <c r="B281" s="118"/>
      <c r="C281" s="237"/>
      <c r="D281" s="238"/>
      <c r="E281" s="239"/>
      <c r="F281" s="118"/>
      <c r="G281" s="237"/>
      <c r="H281" s="240"/>
      <c r="I281" s="241"/>
      <c r="J281" s="241"/>
      <c r="K281" s="241"/>
      <c r="L281" s="241"/>
      <c r="M281" s="11"/>
      <c r="N281" s="79"/>
      <c r="O281" s="12"/>
      <c r="P281" s="11"/>
      <c r="Q281" s="11"/>
    </row>
    <row r="282" ht="12.75" hidden="1"/>
    <row r="283" ht="13.5" thickBot="1"/>
    <row r="284" spans="4:6" ht="13.5" thickTop="1">
      <c r="D284" s="267" t="s">
        <v>11</v>
      </c>
      <c r="E284" s="268"/>
      <c r="F284" s="84"/>
    </row>
    <row r="285" spans="4:6" ht="12.75">
      <c r="D285" s="269" t="s">
        <v>12</v>
      </c>
      <c r="E285" s="270"/>
      <c r="F285" s="53"/>
    </row>
    <row r="286" spans="4:6" ht="12.75">
      <c r="D286" s="269" t="s">
        <v>13</v>
      </c>
      <c r="E286" s="270"/>
      <c r="F286" s="53"/>
    </row>
    <row r="287" spans="4:6" ht="12.75">
      <c r="D287" s="269" t="s">
        <v>379</v>
      </c>
      <c r="E287" s="270"/>
      <c r="F287" s="53"/>
    </row>
    <row r="288" spans="4:6" ht="12.75">
      <c r="D288" s="271" t="s">
        <v>409</v>
      </c>
      <c r="E288" s="270"/>
      <c r="F288" s="53"/>
    </row>
    <row r="289" spans="4:6" ht="12.75">
      <c r="D289" s="272" t="s">
        <v>380</v>
      </c>
      <c r="E289" s="270"/>
      <c r="F289" s="53"/>
    </row>
    <row r="290" spans="4:6" ht="13.5" thickBot="1">
      <c r="D290" s="273" t="s">
        <v>407</v>
      </c>
      <c r="E290" s="274"/>
      <c r="F290" s="275"/>
    </row>
    <row r="291" ht="13.5" thickTop="1"/>
  </sheetData>
  <sheetProtection password="C9B5" sheet="1" objects="1" scenarios="1"/>
  <hyperlinks>
    <hyperlink ref="D289" r:id="rId1" display="www.agmeruruguay.com.ar"/>
    <hyperlink ref="D290" r:id="rId2" display="www.celestecompromiso.com.ar"/>
    <hyperlink ref="D288" r:id="rId3" display="victorhutt@victorhutt.com.ar"/>
    <hyperlink ref="D1" location="primercargo" display="1º Cargo"/>
    <hyperlink ref="E1" location="segundocargo" display="2º Cargo"/>
    <hyperlink ref="F1" location="tercercargo" display="3º cargo"/>
    <hyperlink ref="G1" location="cuartocargo" display="4º cargo"/>
    <hyperlink ref="H1" location="recibofinal" display="Final"/>
  </hyperlinks>
  <printOptions/>
  <pageMargins left="0.75" right="0.75" top="1" bottom="1" header="0" footer="0"/>
  <pageSetup orientation="portrait" paperSize="9" r:id="rId6"/>
  <legacyDrawing r:id="rId5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G314"/>
  <sheetViews>
    <sheetView workbookViewId="0" topLeftCell="A1">
      <selection activeCell="B24" sqref="B24"/>
    </sheetView>
  </sheetViews>
  <sheetFormatPr defaultColWidth="11.421875" defaultRowHeight="12.75"/>
  <cols>
    <col min="2" max="2" width="41.140625" style="0" customWidth="1"/>
    <col min="4" max="4" width="14.00390625" style="0" customWidth="1"/>
  </cols>
  <sheetData>
    <row r="1" spans="1:7" ht="13.5" thickBot="1">
      <c r="A1" s="20"/>
      <c r="B1" s="21" t="s">
        <v>48</v>
      </c>
      <c r="C1" s="22"/>
      <c r="D1" s="23"/>
      <c r="E1" s="23" t="s">
        <v>49</v>
      </c>
      <c r="F1" s="24" t="s">
        <v>50</v>
      </c>
      <c r="G1" s="24" t="s">
        <v>51</v>
      </c>
    </row>
    <row r="2" spans="1:7" ht="12.75">
      <c r="A2" s="25" t="s">
        <v>52</v>
      </c>
      <c r="B2" s="26" t="s">
        <v>53</v>
      </c>
      <c r="C2" s="25" t="s">
        <v>54</v>
      </c>
      <c r="D2" s="302" t="s">
        <v>438</v>
      </c>
      <c r="E2" s="27" t="s">
        <v>55</v>
      </c>
      <c r="F2" s="27" t="s">
        <v>56</v>
      </c>
      <c r="G2" s="27" t="s">
        <v>57</v>
      </c>
    </row>
    <row r="3" spans="1:7" ht="12.75">
      <c r="A3" s="28">
        <v>600</v>
      </c>
      <c r="B3" s="29" t="s">
        <v>58</v>
      </c>
      <c r="C3" s="28">
        <v>1300</v>
      </c>
      <c r="D3" s="303">
        <v>127</v>
      </c>
      <c r="E3" s="30">
        <v>0</v>
      </c>
      <c r="F3" s="28">
        <v>0</v>
      </c>
      <c r="G3" s="28">
        <v>0</v>
      </c>
    </row>
    <row r="4" spans="1:7" ht="12.75">
      <c r="A4" s="28">
        <v>603</v>
      </c>
      <c r="B4" s="29" t="s">
        <v>59</v>
      </c>
      <c r="C4" s="28">
        <v>3146</v>
      </c>
      <c r="D4" s="303">
        <v>0</v>
      </c>
      <c r="E4" s="30">
        <v>0</v>
      </c>
      <c r="F4" s="28">
        <v>0</v>
      </c>
      <c r="G4" s="28">
        <v>0</v>
      </c>
    </row>
    <row r="5" spans="1:7" ht="12.75">
      <c r="A5" s="28">
        <v>604</v>
      </c>
      <c r="B5" s="29" t="s">
        <v>60</v>
      </c>
      <c r="C5" s="28">
        <v>3146</v>
      </c>
      <c r="D5" s="303">
        <v>0</v>
      </c>
      <c r="E5" s="30">
        <v>0</v>
      </c>
      <c r="F5" s="28">
        <v>0</v>
      </c>
      <c r="G5" s="28">
        <v>0</v>
      </c>
    </row>
    <row r="6" spans="1:7" ht="12.75">
      <c r="A6" s="28">
        <v>605</v>
      </c>
      <c r="B6" s="29" t="s">
        <v>61</v>
      </c>
      <c r="C6" s="28">
        <v>2913</v>
      </c>
      <c r="D6" s="303">
        <v>0</v>
      </c>
      <c r="E6" s="30">
        <v>0</v>
      </c>
      <c r="F6" s="28">
        <v>0</v>
      </c>
      <c r="G6" s="28">
        <v>0</v>
      </c>
    </row>
    <row r="7" spans="1:7" ht="12.75">
      <c r="A7" s="28">
        <v>606</v>
      </c>
      <c r="B7" s="29" t="s">
        <v>62</v>
      </c>
      <c r="C7" s="28">
        <v>2913</v>
      </c>
      <c r="D7" s="303">
        <v>0</v>
      </c>
      <c r="E7" s="30">
        <v>0</v>
      </c>
      <c r="F7" s="28">
        <v>0</v>
      </c>
      <c r="G7" s="28">
        <v>0</v>
      </c>
    </row>
    <row r="8" spans="1:7" ht="12.75">
      <c r="A8" s="28">
        <v>608</v>
      </c>
      <c r="B8" s="29" t="s">
        <v>63</v>
      </c>
      <c r="C8" s="28">
        <v>2913</v>
      </c>
      <c r="D8" s="303">
        <v>0</v>
      </c>
      <c r="E8" s="30">
        <v>0</v>
      </c>
      <c r="F8" s="28">
        <v>0</v>
      </c>
      <c r="G8" s="28">
        <v>0</v>
      </c>
    </row>
    <row r="9" spans="1:7" ht="12.75">
      <c r="A9" s="28">
        <v>609</v>
      </c>
      <c r="B9" s="29" t="s">
        <v>64</v>
      </c>
      <c r="C9" s="28">
        <v>2000</v>
      </c>
      <c r="D9" s="303">
        <v>36</v>
      </c>
      <c r="E9" s="30">
        <v>0</v>
      </c>
      <c r="F9" s="28">
        <v>0</v>
      </c>
      <c r="G9" s="28">
        <v>0</v>
      </c>
    </row>
    <row r="10" spans="1:7" ht="12.75">
      <c r="A10" s="28">
        <v>611</v>
      </c>
      <c r="B10" s="29" t="s">
        <v>65</v>
      </c>
      <c r="C10" s="28">
        <v>1840</v>
      </c>
      <c r="D10" s="303">
        <v>57</v>
      </c>
      <c r="E10" s="30">
        <v>0</v>
      </c>
      <c r="F10" s="28">
        <v>0</v>
      </c>
      <c r="G10" s="28">
        <v>0</v>
      </c>
    </row>
    <row r="11" spans="1:7" ht="12.75">
      <c r="A11" s="28">
        <v>612</v>
      </c>
      <c r="B11" s="29" t="s">
        <v>66</v>
      </c>
      <c r="C11" s="28">
        <v>1690</v>
      </c>
      <c r="D11" s="303">
        <v>76</v>
      </c>
      <c r="E11" s="30">
        <v>0</v>
      </c>
      <c r="F11" s="28">
        <v>0</v>
      </c>
      <c r="G11" s="28">
        <v>0</v>
      </c>
    </row>
    <row r="12" spans="1:7" ht="12.75">
      <c r="A12" s="28">
        <v>613</v>
      </c>
      <c r="B12" s="29" t="s">
        <v>67</v>
      </c>
      <c r="C12" s="28">
        <v>1680</v>
      </c>
      <c r="D12" s="303">
        <v>77</v>
      </c>
      <c r="E12" s="30">
        <v>0</v>
      </c>
      <c r="F12" s="28">
        <v>0</v>
      </c>
      <c r="G12" s="28">
        <v>0</v>
      </c>
    </row>
    <row r="13" spans="1:7" ht="12.75">
      <c r="A13" s="28">
        <v>614</v>
      </c>
      <c r="B13" s="29" t="s">
        <v>68</v>
      </c>
      <c r="C13" s="28">
        <v>1740</v>
      </c>
      <c r="D13" s="303">
        <v>70</v>
      </c>
      <c r="E13" s="30">
        <v>0</v>
      </c>
      <c r="F13" s="28">
        <v>0</v>
      </c>
      <c r="G13" s="28">
        <v>0</v>
      </c>
    </row>
    <row r="14" spans="1:7" ht="12.75">
      <c r="A14" s="28">
        <v>615</v>
      </c>
      <c r="B14" s="29" t="s">
        <v>69</v>
      </c>
      <c r="C14" s="28">
        <v>1610</v>
      </c>
      <c r="D14" s="303">
        <v>87</v>
      </c>
      <c r="E14" s="30">
        <v>0</v>
      </c>
      <c r="F14" s="28">
        <v>0</v>
      </c>
      <c r="G14" s="28">
        <v>0</v>
      </c>
    </row>
    <row r="15" spans="1:7" ht="12.75">
      <c r="A15" s="28">
        <v>616</v>
      </c>
      <c r="B15" s="29" t="s">
        <v>70</v>
      </c>
      <c r="C15" s="28">
        <v>1740</v>
      </c>
      <c r="D15" s="303">
        <v>70</v>
      </c>
      <c r="E15" s="30">
        <v>0</v>
      </c>
      <c r="F15" s="28">
        <v>0</v>
      </c>
      <c r="G15" s="28">
        <v>0</v>
      </c>
    </row>
    <row r="16" spans="1:7" ht="12.75">
      <c r="A16" s="28">
        <v>617</v>
      </c>
      <c r="B16" s="29" t="s">
        <v>71</v>
      </c>
      <c r="C16" s="28">
        <v>1610</v>
      </c>
      <c r="D16" s="303">
        <v>87</v>
      </c>
      <c r="E16" s="30">
        <v>0</v>
      </c>
      <c r="F16" s="28">
        <v>0</v>
      </c>
      <c r="G16" s="28">
        <v>0</v>
      </c>
    </row>
    <row r="17" spans="1:7" ht="12.75">
      <c r="A17" s="28">
        <v>618</v>
      </c>
      <c r="B17" s="29" t="s">
        <v>72</v>
      </c>
      <c r="C17" s="28">
        <v>1500</v>
      </c>
      <c r="D17" s="303">
        <v>101</v>
      </c>
      <c r="E17" s="30">
        <v>0</v>
      </c>
      <c r="F17" s="28">
        <v>0</v>
      </c>
      <c r="G17" s="28">
        <v>0</v>
      </c>
    </row>
    <row r="18" spans="1:7" ht="12.75">
      <c r="A18" s="28">
        <v>619</v>
      </c>
      <c r="B18" s="29" t="s">
        <v>73</v>
      </c>
      <c r="C18" s="28">
        <v>1320</v>
      </c>
      <c r="D18" s="303">
        <v>124</v>
      </c>
      <c r="E18" s="30">
        <v>0</v>
      </c>
      <c r="F18" s="28">
        <v>0</v>
      </c>
      <c r="G18" s="28">
        <v>0</v>
      </c>
    </row>
    <row r="19" spans="1:7" ht="12.75">
      <c r="A19" s="28">
        <v>620</v>
      </c>
      <c r="B19" s="29" t="s">
        <v>74</v>
      </c>
      <c r="C19" s="28">
        <v>1550</v>
      </c>
      <c r="D19" s="303">
        <v>94</v>
      </c>
      <c r="E19" s="30">
        <v>0</v>
      </c>
      <c r="F19" s="28">
        <v>0</v>
      </c>
      <c r="G19" s="28">
        <v>0</v>
      </c>
    </row>
    <row r="20" spans="1:7" ht="12.75">
      <c r="A20" s="28">
        <v>621</v>
      </c>
      <c r="B20" s="29" t="s">
        <v>75</v>
      </c>
      <c r="C20" s="28">
        <v>1340</v>
      </c>
      <c r="D20" s="303">
        <v>122</v>
      </c>
      <c r="E20" s="30">
        <v>0</v>
      </c>
      <c r="F20" s="28">
        <v>0</v>
      </c>
      <c r="G20" s="28">
        <v>0</v>
      </c>
    </row>
    <row r="21" spans="1:7" ht="12.75">
      <c r="A21" s="28">
        <v>622</v>
      </c>
      <c r="B21" s="29" t="s">
        <v>76</v>
      </c>
      <c r="C21" s="28">
        <v>971</v>
      </c>
      <c r="D21" s="303">
        <v>170</v>
      </c>
      <c r="E21" s="30">
        <v>0</v>
      </c>
      <c r="F21" s="28">
        <v>0</v>
      </c>
      <c r="G21" s="28">
        <v>0</v>
      </c>
    </row>
    <row r="22" spans="1:7" ht="12.75">
      <c r="A22" s="28">
        <v>623</v>
      </c>
      <c r="B22" s="29" t="s">
        <v>77</v>
      </c>
      <c r="C22" s="28">
        <v>1690</v>
      </c>
      <c r="D22" s="303">
        <v>76</v>
      </c>
      <c r="E22" s="30">
        <v>0</v>
      </c>
      <c r="F22" s="28">
        <v>0</v>
      </c>
      <c r="G22" s="28">
        <v>0</v>
      </c>
    </row>
    <row r="23" spans="1:7" ht="12.75">
      <c r="A23" s="28">
        <v>624</v>
      </c>
      <c r="B23" s="29" t="s">
        <v>78</v>
      </c>
      <c r="C23" s="28">
        <v>1400</v>
      </c>
      <c r="D23" s="303">
        <v>114</v>
      </c>
      <c r="E23" s="30">
        <v>0</v>
      </c>
      <c r="F23" s="28">
        <v>0</v>
      </c>
      <c r="G23" s="28">
        <v>0</v>
      </c>
    </row>
    <row r="24" spans="1:7" ht="12.75">
      <c r="A24" s="28">
        <v>625</v>
      </c>
      <c r="B24" s="29" t="s">
        <v>79</v>
      </c>
      <c r="C24" s="28">
        <v>1370</v>
      </c>
      <c r="D24" s="303">
        <v>118</v>
      </c>
      <c r="E24" s="30">
        <v>0</v>
      </c>
      <c r="F24" s="28">
        <v>0</v>
      </c>
      <c r="G24" s="28">
        <v>0</v>
      </c>
    </row>
    <row r="25" spans="1:7" ht="12.75">
      <c r="A25" s="28">
        <v>626</v>
      </c>
      <c r="B25" s="29" t="s">
        <v>80</v>
      </c>
      <c r="C25" s="28">
        <v>1340</v>
      </c>
      <c r="D25" s="303">
        <v>122</v>
      </c>
      <c r="E25" s="30">
        <v>0</v>
      </c>
      <c r="F25" s="28">
        <v>0</v>
      </c>
      <c r="G25" s="28">
        <v>0</v>
      </c>
    </row>
    <row r="26" spans="1:7" ht="12.75">
      <c r="A26" s="28">
        <v>627</v>
      </c>
      <c r="B26" s="29" t="s">
        <v>81</v>
      </c>
      <c r="C26" s="28">
        <v>1300</v>
      </c>
      <c r="D26" s="303">
        <v>127</v>
      </c>
      <c r="E26" s="30">
        <v>0</v>
      </c>
      <c r="F26" s="28">
        <v>0</v>
      </c>
      <c r="G26" s="28">
        <v>0</v>
      </c>
    </row>
    <row r="27" spans="1:7" ht="12.75">
      <c r="A27" s="28">
        <v>628</v>
      </c>
      <c r="B27" s="29" t="s">
        <v>82</v>
      </c>
      <c r="C27" s="28">
        <v>980</v>
      </c>
      <c r="D27" s="303">
        <v>169</v>
      </c>
      <c r="E27" s="30">
        <v>0</v>
      </c>
      <c r="F27" s="28">
        <v>0</v>
      </c>
      <c r="G27" s="28">
        <v>0</v>
      </c>
    </row>
    <row r="28" spans="1:7" ht="12.75">
      <c r="A28" s="28">
        <v>629</v>
      </c>
      <c r="B28" s="29" t="s">
        <v>83</v>
      </c>
      <c r="C28" s="28">
        <v>941</v>
      </c>
      <c r="D28" s="303">
        <v>174</v>
      </c>
      <c r="E28" s="30">
        <v>0</v>
      </c>
      <c r="F28" s="28">
        <v>0</v>
      </c>
      <c r="G28" s="28">
        <v>0</v>
      </c>
    </row>
    <row r="29" spans="1:7" ht="12.75">
      <c r="A29" s="28">
        <v>630</v>
      </c>
      <c r="B29" s="29" t="s">
        <v>84</v>
      </c>
      <c r="C29" s="28">
        <v>1170</v>
      </c>
      <c r="D29" s="303">
        <v>144</v>
      </c>
      <c r="E29" s="30">
        <v>0</v>
      </c>
      <c r="F29" s="28">
        <v>0</v>
      </c>
      <c r="G29" s="28">
        <v>0</v>
      </c>
    </row>
    <row r="30" spans="1:7" ht="12.75">
      <c r="A30" s="28">
        <v>631</v>
      </c>
      <c r="B30" s="29" t="s">
        <v>85</v>
      </c>
      <c r="C30" s="28">
        <v>1170</v>
      </c>
      <c r="D30" s="303">
        <v>144</v>
      </c>
      <c r="E30" s="30">
        <v>0</v>
      </c>
      <c r="F30" s="28">
        <v>0</v>
      </c>
      <c r="G30" s="28">
        <v>0</v>
      </c>
    </row>
    <row r="31" spans="1:7" ht="12.75">
      <c r="A31" s="28">
        <v>632</v>
      </c>
      <c r="B31" s="29" t="s">
        <v>86</v>
      </c>
      <c r="C31" s="28">
        <v>941</v>
      </c>
      <c r="D31" s="303">
        <v>174</v>
      </c>
      <c r="E31" s="30">
        <v>0</v>
      </c>
      <c r="F31" s="28">
        <v>0</v>
      </c>
      <c r="G31" s="28">
        <v>0</v>
      </c>
    </row>
    <row r="32" spans="1:7" ht="12.75">
      <c r="A32" s="28">
        <v>633</v>
      </c>
      <c r="B32" s="29" t="s">
        <v>87</v>
      </c>
      <c r="C32" s="28">
        <v>941</v>
      </c>
      <c r="D32" s="303">
        <v>174</v>
      </c>
      <c r="E32" s="30">
        <v>0</v>
      </c>
      <c r="F32" s="28">
        <v>0</v>
      </c>
      <c r="G32" s="28">
        <v>0</v>
      </c>
    </row>
    <row r="33" spans="1:7" ht="12.75">
      <c r="A33" s="28">
        <v>634</v>
      </c>
      <c r="B33" s="29" t="s">
        <v>88</v>
      </c>
      <c r="C33" s="28">
        <v>971</v>
      </c>
      <c r="D33" s="303">
        <v>170</v>
      </c>
      <c r="E33" s="30">
        <v>0</v>
      </c>
      <c r="F33" s="28">
        <v>0</v>
      </c>
      <c r="G33" s="28">
        <v>0</v>
      </c>
    </row>
    <row r="34" spans="1:7" ht="12.75">
      <c r="A34" s="28">
        <v>636</v>
      </c>
      <c r="B34" s="29" t="s">
        <v>89</v>
      </c>
      <c r="C34" s="28">
        <v>971</v>
      </c>
      <c r="D34" s="303">
        <v>170</v>
      </c>
      <c r="E34" s="30">
        <v>0</v>
      </c>
      <c r="F34" s="28">
        <v>0</v>
      </c>
      <c r="G34" s="28">
        <v>0</v>
      </c>
    </row>
    <row r="35" spans="1:7" ht="12.75">
      <c r="A35" s="28">
        <v>637</v>
      </c>
      <c r="B35" s="29" t="s">
        <v>90</v>
      </c>
      <c r="C35" s="28">
        <v>971</v>
      </c>
      <c r="D35" s="303">
        <v>170</v>
      </c>
      <c r="E35" s="30">
        <v>0</v>
      </c>
      <c r="F35" s="28">
        <v>0</v>
      </c>
      <c r="G35" s="28">
        <v>0</v>
      </c>
    </row>
    <row r="36" spans="1:7" ht="12.75">
      <c r="A36" s="28">
        <v>638</v>
      </c>
      <c r="B36" s="29" t="s">
        <v>91</v>
      </c>
      <c r="C36" s="28">
        <v>906</v>
      </c>
      <c r="D36" s="303">
        <v>178</v>
      </c>
      <c r="E36" s="30">
        <v>0</v>
      </c>
      <c r="F36" s="28">
        <v>0</v>
      </c>
      <c r="G36" s="28">
        <v>0</v>
      </c>
    </row>
    <row r="37" spans="1:7" ht="12.75">
      <c r="A37" s="28">
        <v>639</v>
      </c>
      <c r="B37" s="29" t="s">
        <v>92</v>
      </c>
      <c r="C37" s="28">
        <v>1300</v>
      </c>
      <c r="D37" s="303">
        <v>127</v>
      </c>
      <c r="E37" s="30">
        <v>0</v>
      </c>
      <c r="F37" s="28">
        <v>0</v>
      </c>
      <c r="G37" s="28">
        <v>0</v>
      </c>
    </row>
    <row r="38" spans="1:7" ht="12.75">
      <c r="A38" s="28">
        <v>640</v>
      </c>
      <c r="B38" s="29" t="s">
        <v>93</v>
      </c>
      <c r="C38" s="28">
        <v>2830</v>
      </c>
      <c r="D38" s="303">
        <v>0</v>
      </c>
      <c r="E38" s="30">
        <v>0</v>
      </c>
      <c r="F38" s="28">
        <v>0</v>
      </c>
      <c r="G38" s="28">
        <v>0</v>
      </c>
    </row>
    <row r="39" spans="1:7" ht="12.75">
      <c r="A39" s="28">
        <v>641</v>
      </c>
      <c r="B39" s="29" t="s">
        <v>94</v>
      </c>
      <c r="C39" s="28">
        <v>1550</v>
      </c>
      <c r="D39" s="303">
        <v>94</v>
      </c>
      <c r="E39" s="30">
        <v>0</v>
      </c>
      <c r="F39" s="28">
        <v>0</v>
      </c>
      <c r="G39" s="28">
        <v>0</v>
      </c>
    </row>
    <row r="40" spans="1:7" ht="12.75">
      <c r="A40" s="28">
        <v>642</v>
      </c>
      <c r="B40" s="29" t="s">
        <v>95</v>
      </c>
      <c r="C40" s="28">
        <v>1170</v>
      </c>
      <c r="D40" s="303">
        <v>144</v>
      </c>
      <c r="E40" s="30">
        <v>0</v>
      </c>
      <c r="F40" s="28">
        <v>0</v>
      </c>
      <c r="G40" s="28">
        <v>0</v>
      </c>
    </row>
    <row r="41" spans="1:7" ht="12.75">
      <c r="A41" s="28">
        <v>643</v>
      </c>
      <c r="B41" s="29" t="s">
        <v>96</v>
      </c>
      <c r="C41" s="28">
        <v>1500</v>
      </c>
      <c r="D41" s="303">
        <v>101</v>
      </c>
      <c r="E41" s="30">
        <v>0</v>
      </c>
      <c r="F41" s="28">
        <v>0</v>
      </c>
      <c r="G41" s="28">
        <v>0</v>
      </c>
    </row>
    <row r="42" spans="1:7" ht="12.75">
      <c r="A42" s="28">
        <v>644</v>
      </c>
      <c r="B42" s="29" t="s">
        <v>97</v>
      </c>
      <c r="C42" s="28">
        <v>2490</v>
      </c>
      <c r="D42" s="303">
        <v>0</v>
      </c>
      <c r="E42" s="30">
        <v>0</v>
      </c>
      <c r="F42" s="28">
        <v>0</v>
      </c>
      <c r="G42" s="28">
        <v>0</v>
      </c>
    </row>
    <row r="43" spans="1:7" ht="12.75">
      <c r="A43" s="28">
        <v>645</v>
      </c>
      <c r="B43" s="29" t="s">
        <v>98</v>
      </c>
      <c r="C43" s="28">
        <v>2329</v>
      </c>
      <c r="D43" s="303">
        <v>0</v>
      </c>
      <c r="E43" s="30">
        <v>0</v>
      </c>
      <c r="F43" s="28">
        <v>0</v>
      </c>
      <c r="G43" s="28">
        <v>0</v>
      </c>
    </row>
    <row r="44" spans="1:7" ht="12.75">
      <c r="A44" s="28">
        <v>646</v>
      </c>
      <c r="B44" s="29" t="s">
        <v>99</v>
      </c>
      <c r="C44" s="28">
        <v>906</v>
      </c>
      <c r="D44" s="303">
        <v>178</v>
      </c>
      <c r="E44" s="30">
        <v>0</v>
      </c>
      <c r="F44" s="28">
        <v>0</v>
      </c>
      <c r="G44" s="28">
        <v>0</v>
      </c>
    </row>
    <row r="45" spans="1:7" ht="12.75">
      <c r="A45" s="28">
        <v>647</v>
      </c>
      <c r="B45" s="29" t="s">
        <v>100</v>
      </c>
      <c r="C45" s="28">
        <v>1830</v>
      </c>
      <c r="D45" s="303">
        <v>58</v>
      </c>
      <c r="E45" s="30">
        <v>0</v>
      </c>
      <c r="F45" s="28">
        <v>0</v>
      </c>
      <c r="G45" s="28">
        <v>0</v>
      </c>
    </row>
    <row r="46" spans="1:7" ht="12.75">
      <c r="A46" s="28">
        <v>648</v>
      </c>
      <c r="B46" s="29" t="s">
        <v>101</v>
      </c>
      <c r="C46" s="28">
        <v>1740</v>
      </c>
      <c r="D46" s="303">
        <v>70</v>
      </c>
      <c r="E46" s="30">
        <v>0</v>
      </c>
      <c r="F46" s="28">
        <v>0</v>
      </c>
      <c r="G46" s="28">
        <v>0</v>
      </c>
    </row>
    <row r="47" spans="1:7" ht="12.75">
      <c r="A47" s="28">
        <v>649</v>
      </c>
      <c r="B47" s="29" t="s">
        <v>102</v>
      </c>
      <c r="C47" s="28">
        <v>971</v>
      </c>
      <c r="D47" s="303">
        <v>170</v>
      </c>
      <c r="E47" s="30">
        <v>0</v>
      </c>
      <c r="F47" s="28">
        <v>0</v>
      </c>
      <c r="G47" s="28">
        <v>0</v>
      </c>
    </row>
    <row r="48" spans="1:7" ht="12.75">
      <c r="A48" s="28">
        <v>650</v>
      </c>
      <c r="B48" s="29" t="s">
        <v>103</v>
      </c>
      <c r="C48" s="28">
        <v>1740</v>
      </c>
      <c r="D48" s="303">
        <v>70</v>
      </c>
      <c r="E48" s="30">
        <v>0</v>
      </c>
      <c r="F48" s="28">
        <v>750</v>
      </c>
      <c r="G48" s="28">
        <v>0</v>
      </c>
    </row>
    <row r="49" spans="1:7" ht="12.75">
      <c r="A49" s="28">
        <v>651</v>
      </c>
      <c r="B49" s="29" t="s">
        <v>104</v>
      </c>
      <c r="C49" s="28">
        <v>971</v>
      </c>
      <c r="D49" s="303">
        <v>170</v>
      </c>
      <c r="E49" s="30">
        <v>0</v>
      </c>
      <c r="F49" s="28">
        <v>0</v>
      </c>
      <c r="G49" s="28">
        <v>0</v>
      </c>
    </row>
    <row r="50" spans="1:7" ht="12.75">
      <c r="A50" s="28">
        <v>652</v>
      </c>
      <c r="B50" s="29" t="s">
        <v>105</v>
      </c>
      <c r="C50" s="28">
        <v>1250</v>
      </c>
      <c r="D50" s="303">
        <v>134</v>
      </c>
      <c r="E50" s="30">
        <v>0</v>
      </c>
      <c r="F50" s="28">
        <v>0</v>
      </c>
      <c r="G50" s="28">
        <v>0</v>
      </c>
    </row>
    <row r="51" spans="1:7" ht="12.75">
      <c r="A51" s="28">
        <v>653</v>
      </c>
      <c r="B51" s="29" t="s">
        <v>106</v>
      </c>
      <c r="C51" s="28">
        <v>1400</v>
      </c>
      <c r="D51" s="303">
        <v>114</v>
      </c>
      <c r="E51" s="30">
        <v>0</v>
      </c>
      <c r="F51" s="28">
        <v>100</v>
      </c>
      <c r="G51" s="28">
        <v>0</v>
      </c>
    </row>
    <row r="52" spans="1:7" ht="12.75">
      <c r="A52" s="28">
        <v>654</v>
      </c>
      <c r="B52" s="29" t="s">
        <v>107</v>
      </c>
      <c r="C52" s="28">
        <v>1690</v>
      </c>
      <c r="D52" s="303">
        <v>76</v>
      </c>
      <c r="E52" s="30">
        <v>0</v>
      </c>
      <c r="F52" s="28">
        <v>300</v>
      </c>
      <c r="G52" s="28">
        <v>0</v>
      </c>
    </row>
    <row r="53" spans="1:7" ht="12.75">
      <c r="A53" s="28">
        <v>655</v>
      </c>
      <c r="B53" s="29" t="s">
        <v>108</v>
      </c>
      <c r="C53" s="28">
        <v>1550</v>
      </c>
      <c r="D53" s="303">
        <v>94</v>
      </c>
      <c r="E53" s="30">
        <v>0</v>
      </c>
      <c r="F53" s="28">
        <v>200</v>
      </c>
      <c r="G53" s="28">
        <v>0</v>
      </c>
    </row>
    <row r="54" spans="1:7" ht="12.75">
      <c r="A54" s="28">
        <v>657</v>
      </c>
      <c r="B54" s="29" t="s">
        <v>109</v>
      </c>
      <c r="C54" s="28">
        <v>1340</v>
      </c>
      <c r="D54" s="303">
        <v>122</v>
      </c>
      <c r="E54" s="30">
        <v>0</v>
      </c>
      <c r="F54" s="28">
        <v>0</v>
      </c>
      <c r="G54" s="28">
        <v>0</v>
      </c>
    </row>
    <row r="55" spans="1:7" ht="12.75">
      <c r="A55" s="28">
        <v>658</v>
      </c>
      <c r="B55" s="29" t="s">
        <v>110</v>
      </c>
      <c r="C55" s="28">
        <v>1300</v>
      </c>
      <c r="D55" s="303">
        <v>127</v>
      </c>
      <c r="E55" s="30">
        <v>0</v>
      </c>
      <c r="F55" s="28">
        <v>0</v>
      </c>
      <c r="G55" s="28">
        <v>0</v>
      </c>
    </row>
    <row r="56" spans="1:7" ht="12.75">
      <c r="A56" s="28">
        <v>659</v>
      </c>
      <c r="B56" s="29" t="s">
        <v>111</v>
      </c>
      <c r="C56" s="28">
        <v>1340</v>
      </c>
      <c r="D56" s="303">
        <v>122</v>
      </c>
      <c r="E56" s="30">
        <v>0</v>
      </c>
      <c r="F56" s="28">
        <v>0</v>
      </c>
      <c r="G56" s="28">
        <v>0</v>
      </c>
    </row>
    <row r="57" spans="1:7" ht="12.75">
      <c r="A57" s="28">
        <v>660</v>
      </c>
      <c r="B57" s="29" t="s">
        <v>112</v>
      </c>
      <c r="C57" s="28">
        <v>1300</v>
      </c>
      <c r="D57" s="303">
        <v>127</v>
      </c>
      <c r="E57" s="30">
        <v>0</v>
      </c>
      <c r="F57" s="28">
        <v>0</v>
      </c>
      <c r="G57" s="28">
        <v>0</v>
      </c>
    </row>
    <row r="58" spans="1:7" ht="12.75">
      <c r="A58" s="28">
        <v>661</v>
      </c>
      <c r="B58" s="29" t="s">
        <v>113</v>
      </c>
      <c r="C58" s="28">
        <v>1300</v>
      </c>
      <c r="D58" s="303">
        <v>127</v>
      </c>
      <c r="E58" s="30">
        <v>0</v>
      </c>
      <c r="F58" s="28">
        <v>0</v>
      </c>
      <c r="G58" s="28">
        <v>0</v>
      </c>
    </row>
    <row r="59" spans="1:7" ht="12.75">
      <c r="A59" s="28">
        <v>662</v>
      </c>
      <c r="B59" s="29" t="s">
        <v>114</v>
      </c>
      <c r="C59" s="28">
        <v>1690</v>
      </c>
      <c r="D59" s="303">
        <v>76</v>
      </c>
      <c r="E59" s="30">
        <v>0</v>
      </c>
      <c r="F59" s="28">
        <v>708</v>
      </c>
      <c r="G59" s="28">
        <v>0</v>
      </c>
    </row>
    <row r="60" spans="1:7" ht="12.75">
      <c r="A60" s="28">
        <v>663</v>
      </c>
      <c r="B60" s="29" t="s">
        <v>115</v>
      </c>
      <c r="C60" s="28">
        <v>1500</v>
      </c>
      <c r="D60" s="303">
        <v>101</v>
      </c>
      <c r="E60" s="30">
        <v>0</v>
      </c>
      <c r="F60" s="28">
        <v>0</v>
      </c>
      <c r="G60" s="28">
        <v>0</v>
      </c>
    </row>
    <row r="61" spans="1:7" ht="12.75">
      <c r="A61" s="28">
        <v>664</v>
      </c>
      <c r="B61" s="29" t="s">
        <v>116</v>
      </c>
      <c r="C61" s="28">
        <v>971</v>
      </c>
      <c r="D61" s="303">
        <v>170</v>
      </c>
      <c r="E61" s="30">
        <v>0</v>
      </c>
      <c r="F61" s="28">
        <v>620</v>
      </c>
      <c r="G61" s="28">
        <v>0</v>
      </c>
    </row>
    <row r="62" spans="1:7" ht="12.75">
      <c r="A62" s="28">
        <v>667</v>
      </c>
      <c r="B62" s="29" t="s">
        <v>117</v>
      </c>
      <c r="C62" s="28">
        <v>2000</v>
      </c>
      <c r="D62" s="303">
        <v>36</v>
      </c>
      <c r="E62" s="30">
        <v>0</v>
      </c>
      <c r="F62" s="28">
        <v>830</v>
      </c>
      <c r="G62" s="28">
        <v>0</v>
      </c>
    </row>
    <row r="63" spans="1:7" ht="12.75">
      <c r="A63" s="28">
        <v>668</v>
      </c>
      <c r="B63" s="29" t="s">
        <v>118</v>
      </c>
      <c r="C63" s="28">
        <v>1840</v>
      </c>
      <c r="D63" s="303">
        <v>57</v>
      </c>
      <c r="E63" s="30">
        <v>0</v>
      </c>
      <c r="F63" s="28">
        <v>830</v>
      </c>
      <c r="G63" s="28">
        <v>0</v>
      </c>
    </row>
    <row r="64" spans="1:7" ht="12.75">
      <c r="A64" s="28">
        <v>669</v>
      </c>
      <c r="B64" s="29" t="s">
        <v>119</v>
      </c>
      <c r="C64" s="28">
        <v>1680</v>
      </c>
      <c r="D64" s="303">
        <v>77</v>
      </c>
      <c r="E64" s="30">
        <v>0</v>
      </c>
      <c r="F64" s="28">
        <v>830</v>
      </c>
      <c r="G64" s="28">
        <v>0</v>
      </c>
    </row>
    <row r="65" spans="1:7" ht="12.75">
      <c r="A65" s="28">
        <v>670</v>
      </c>
      <c r="B65" s="29" t="s">
        <v>120</v>
      </c>
      <c r="C65" s="28">
        <v>1740</v>
      </c>
      <c r="D65" s="303">
        <v>70</v>
      </c>
      <c r="E65" s="30">
        <v>0</v>
      </c>
      <c r="F65" s="28">
        <v>750</v>
      </c>
      <c r="G65" s="28">
        <v>0</v>
      </c>
    </row>
    <row r="66" spans="1:7" ht="12.75">
      <c r="A66" s="28">
        <v>671</v>
      </c>
      <c r="B66" s="29" t="s">
        <v>121</v>
      </c>
      <c r="C66" s="28">
        <v>1610</v>
      </c>
      <c r="D66" s="303">
        <v>87</v>
      </c>
      <c r="E66" s="30">
        <v>0</v>
      </c>
      <c r="F66" s="28">
        <v>750</v>
      </c>
      <c r="G66" s="28">
        <v>0</v>
      </c>
    </row>
    <row r="67" spans="1:7" ht="12.75">
      <c r="A67" s="28">
        <v>672</v>
      </c>
      <c r="B67" s="29" t="s">
        <v>122</v>
      </c>
      <c r="C67" s="28">
        <v>2000</v>
      </c>
      <c r="D67" s="303">
        <v>36</v>
      </c>
      <c r="E67" s="30">
        <v>0</v>
      </c>
      <c r="F67" s="28">
        <v>300</v>
      </c>
      <c r="G67" s="28">
        <v>0</v>
      </c>
    </row>
    <row r="68" spans="1:7" ht="12.75">
      <c r="A68" s="28">
        <v>673</v>
      </c>
      <c r="B68" s="29" t="s">
        <v>123</v>
      </c>
      <c r="C68" s="28">
        <v>1840</v>
      </c>
      <c r="D68" s="303">
        <v>57</v>
      </c>
      <c r="E68" s="30">
        <v>0</v>
      </c>
      <c r="F68" s="28">
        <v>300</v>
      </c>
      <c r="G68" s="28">
        <v>0</v>
      </c>
    </row>
    <row r="69" spans="1:7" ht="12.75">
      <c r="A69" s="28">
        <v>674</v>
      </c>
      <c r="B69" s="29" t="s">
        <v>124</v>
      </c>
      <c r="C69" s="28">
        <v>1680</v>
      </c>
      <c r="D69" s="303">
        <v>77</v>
      </c>
      <c r="E69" s="30">
        <v>0</v>
      </c>
      <c r="F69" s="28">
        <v>300</v>
      </c>
      <c r="G69" s="28">
        <v>0</v>
      </c>
    </row>
    <row r="70" spans="1:7" ht="12.75">
      <c r="A70" s="28">
        <v>675</v>
      </c>
      <c r="B70" s="29" t="s">
        <v>125</v>
      </c>
      <c r="C70" s="28">
        <v>1740</v>
      </c>
      <c r="D70" s="303">
        <v>70</v>
      </c>
      <c r="E70" s="30">
        <v>0</v>
      </c>
      <c r="F70" s="28">
        <v>725</v>
      </c>
      <c r="G70" s="28">
        <v>0</v>
      </c>
    </row>
    <row r="71" spans="1:7" ht="12.75">
      <c r="A71" s="28">
        <v>676</v>
      </c>
      <c r="B71" s="29" t="s">
        <v>126</v>
      </c>
      <c r="C71" s="28">
        <v>1610</v>
      </c>
      <c r="D71" s="303">
        <v>87</v>
      </c>
      <c r="E71" s="30">
        <v>0</v>
      </c>
      <c r="F71" s="28">
        <v>725</v>
      </c>
      <c r="G71" s="28">
        <v>0</v>
      </c>
    </row>
    <row r="72" spans="1:7" ht="12.75">
      <c r="A72" s="28">
        <v>677</v>
      </c>
      <c r="B72" s="29" t="s">
        <v>127</v>
      </c>
      <c r="C72" s="28">
        <v>1500</v>
      </c>
      <c r="D72" s="303">
        <v>101</v>
      </c>
      <c r="E72" s="30">
        <v>0</v>
      </c>
      <c r="F72" s="28">
        <v>725</v>
      </c>
      <c r="G72" s="28">
        <v>0</v>
      </c>
    </row>
    <row r="73" spans="1:7" ht="12.75">
      <c r="A73" s="28">
        <v>678</v>
      </c>
      <c r="B73" s="29" t="s">
        <v>128</v>
      </c>
      <c r="C73" s="28">
        <v>1320</v>
      </c>
      <c r="D73" s="303">
        <v>124</v>
      </c>
      <c r="E73" s="30">
        <v>0</v>
      </c>
      <c r="F73" s="28">
        <v>590</v>
      </c>
      <c r="G73" s="28">
        <v>0</v>
      </c>
    </row>
    <row r="74" spans="1:7" ht="12.75">
      <c r="A74" s="28">
        <v>679</v>
      </c>
      <c r="B74" s="29" t="s">
        <v>129</v>
      </c>
      <c r="C74" s="28">
        <v>1690</v>
      </c>
      <c r="D74" s="303">
        <v>76</v>
      </c>
      <c r="E74" s="30">
        <v>0</v>
      </c>
      <c r="F74" s="28">
        <v>708</v>
      </c>
      <c r="G74" s="28">
        <v>0</v>
      </c>
    </row>
    <row r="75" spans="1:7" ht="12.75">
      <c r="A75" s="28">
        <v>680</v>
      </c>
      <c r="B75" s="29" t="s">
        <v>130</v>
      </c>
      <c r="C75" s="28">
        <v>1550</v>
      </c>
      <c r="D75" s="303">
        <v>94</v>
      </c>
      <c r="E75" s="30">
        <v>0</v>
      </c>
      <c r="F75" s="28">
        <v>708</v>
      </c>
      <c r="G75" s="28">
        <v>0</v>
      </c>
    </row>
    <row r="76" spans="1:7" ht="12.75">
      <c r="A76" s="28">
        <v>681</v>
      </c>
      <c r="B76" s="29" t="s">
        <v>131</v>
      </c>
      <c r="C76" s="28">
        <v>1400</v>
      </c>
      <c r="D76" s="303">
        <v>114</v>
      </c>
      <c r="E76" s="30">
        <v>0</v>
      </c>
      <c r="F76" s="28">
        <v>708</v>
      </c>
      <c r="G76" s="28">
        <v>0</v>
      </c>
    </row>
    <row r="77" spans="1:7" ht="12.75">
      <c r="A77" s="28">
        <v>682</v>
      </c>
      <c r="B77" s="31" t="s">
        <v>132</v>
      </c>
      <c r="C77" s="28">
        <v>1170</v>
      </c>
      <c r="D77" s="303">
        <v>144</v>
      </c>
      <c r="E77" s="30">
        <v>0</v>
      </c>
      <c r="F77" s="28">
        <v>580</v>
      </c>
      <c r="G77" s="28">
        <v>0</v>
      </c>
    </row>
    <row r="78" spans="1:7" ht="12.75">
      <c r="A78" s="28">
        <v>683</v>
      </c>
      <c r="B78" s="31" t="s">
        <v>133</v>
      </c>
      <c r="C78" s="28">
        <v>1170</v>
      </c>
      <c r="D78" s="303">
        <v>144</v>
      </c>
      <c r="E78" s="30">
        <v>0</v>
      </c>
      <c r="F78" s="28">
        <v>580</v>
      </c>
      <c r="G78" s="28">
        <v>0</v>
      </c>
    </row>
    <row r="79" spans="1:7" ht="12.75">
      <c r="A79" s="28">
        <v>684</v>
      </c>
      <c r="B79" s="29" t="s">
        <v>134</v>
      </c>
      <c r="C79" s="28">
        <v>1170</v>
      </c>
      <c r="D79" s="303">
        <v>144</v>
      </c>
      <c r="E79" s="30">
        <v>0</v>
      </c>
      <c r="F79" s="28">
        <v>580</v>
      </c>
      <c r="G79" s="28">
        <v>0</v>
      </c>
    </row>
    <row r="80" spans="1:7" ht="12.75">
      <c r="A80" s="28">
        <v>685</v>
      </c>
      <c r="B80" s="29" t="s">
        <v>135</v>
      </c>
      <c r="C80" s="28">
        <v>1500</v>
      </c>
      <c r="D80" s="303">
        <v>101</v>
      </c>
      <c r="E80" s="30">
        <v>0</v>
      </c>
      <c r="F80" s="28">
        <v>750</v>
      </c>
      <c r="G80" s="28">
        <v>0</v>
      </c>
    </row>
    <row r="81" spans="1:7" ht="12.75">
      <c r="A81" s="28">
        <v>686</v>
      </c>
      <c r="B81" s="29" t="s">
        <v>136</v>
      </c>
      <c r="C81" s="28">
        <v>2000</v>
      </c>
      <c r="D81" s="303">
        <v>36</v>
      </c>
      <c r="E81" s="30">
        <v>0</v>
      </c>
      <c r="F81" s="28">
        <v>600</v>
      </c>
      <c r="G81" s="28">
        <v>0</v>
      </c>
    </row>
    <row r="82" spans="1:7" ht="12.75">
      <c r="A82" s="28">
        <v>687</v>
      </c>
      <c r="B82" s="29" t="s">
        <v>137</v>
      </c>
      <c r="C82" s="28">
        <v>1840</v>
      </c>
      <c r="D82" s="303">
        <v>57</v>
      </c>
      <c r="E82" s="30">
        <v>0</v>
      </c>
      <c r="F82" s="28">
        <v>600</v>
      </c>
      <c r="G82" s="28">
        <v>0</v>
      </c>
    </row>
    <row r="83" spans="1:7" ht="12.75">
      <c r="A83" s="28">
        <v>688</v>
      </c>
      <c r="B83" s="29" t="s">
        <v>138</v>
      </c>
      <c r="C83" s="28">
        <v>1680</v>
      </c>
      <c r="D83" s="303">
        <v>77</v>
      </c>
      <c r="E83" s="30">
        <v>0</v>
      </c>
      <c r="F83" s="28">
        <v>600</v>
      </c>
      <c r="G83" s="28">
        <v>0</v>
      </c>
    </row>
    <row r="84" spans="1:7" ht="12.75">
      <c r="A84" s="28">
        <v>689</v>
      </c>
      <c r="B84" s="31" t="s">
        <v>139</v>
      </c>
      <c r="C84" s="28">
        <v>1170</v>
      </c>
      <c r="D84" s="303">
        <v>144</v>
      </c>
      <c r="E84" s="30">
        <v>0</v>
      </c>
      <c r="F84" s="28">
        <v>580</v>
      </c>
      <c r="G84" s="28">
        <v>0</v>
      </c>
    </row>
    <row r="85" spans="1:7" ht="12.75">
      <c r="A85" s="28">
        <v>691</v>
      </c>
      <c r="B85" s="29" t="s">
        <v>140</v>
      </c>
      <c r="C85" s="28">
        <v>1500</v>
      </c>
      <c r="D85" s="303">
        <v>101</v>
      </c>
      <c r="E85" s="30">
        <v>0</v>
      </c>
      <c r="F85" s="28">
        <v>750</v>
      </c>
      <c r="G85" s="28">
        <v>0</v>
      </c>
    </row>
    <row r="86" spans="1:7" ht="12.75">
      <c r="A86" s="28">
        <v>692</v>
      </c>
      <c r="B86" s="29" t="s">
        <v>141</v>
      </c>
      <c r="C86" s="28">
        <v>1690</v>
      </c>
      <c r="D86" s="303">
        <v>76</v>
      </c>
      <c r="E86" s="30">
        <v>0</v>
      </c>
      <c r="F86" s="28">
        <v>620</v>
      </c>
      <c r="G86" s="28">
        <v>0</v>
      </c>
    </row>
    <row r="87" spans="1:7" ht="12.75">
      <c r="A87" s="28">
        <v>693</v>
      </c>
      <c r="B87" s="29" t="s">
        <v>142</v>
      </c>
      <c r="C87" s="28">
        <v>1550</v>
      </c>
      <c r="D87" s="303">
        <v>94</v>
      </c>
      <c r="E87" s="30">
        <v>0</v>
      </c>
      <c r="F87" s="28">
        <v>620</v>
      </c>
      <c r="G87" s="28">
        <v>0</v>
      </c>
    </row>
    <row r="88" spans="1:7" ht="12.75">
      <c r="A88" s="28">
        <v>694</v>
      </c>
      <c r="B88" s="29" t="s">
        <v>143</v>
      </c>
      <c r="C88" s="28">
        <v>1400</v>
      </c>
      <c r="D88" s="303">
        <v>114</v>
      </c>
      <c r="E88" s="30">
        <v>0</v>
      </c>
      <c r="F88" s="28">
        <v>620</v>
      </c>
      <c r="G88" s="28">
        <v>0</v>
      </c>
    </row>
    <row r="89" spans="1:7" ht="12.75">
      <c r="A89" s="28">
        <v>695</v>
      </c>
      <c r="B89" s="29" t="s">
        <v>144</v>
      </c>
      <c r="C89" s="28">
        <v>906</v>
      </c>
      <c r="D89" s="303">
        <v>178</v>
      </c>
      <c r="E89" s="30">
        <v>0</v>
      </c>
      <c r="F89" s="28">
        <v>0</v>
      </c>
      <c r="G89" s="28">
        <v>0</v>
      </c>
    </row>
    <row r="90" spans="1:7" ht="12.75">
      <c r="A90" s="28">
        <v>696</v>
      </c>
      <c r="B90" s="29" t="s">
        <v>145</v>
      </c>
      <c r="C90" s="28">
        <v>1500</v>
      </c>
      <c r="D90" s="303">
        <v>101</v>
      </c>
      <c r="E90" s="30">
        <v>0</v>
      </c>
      <c r="F90" s="28">
        <v>0</v>
      </c>
      <c r="G90" s="28">
        <v>0</v>
      </c>
    </row>
    <row r="91" spans="1:7" ht="12.75">
      <c r="A91" s="28">
        <v>697</v>
      </c>
      <c r="B91" s="29" t="s">
        <v>146</v>
      </c>
      <c r="C91" s="28">
        <v>1500</v>
      </c>
      <c r="D91" s="303">
        <v>101</v>
      </c>
      <c r="E91" s="30">
        <v>0</v>
      </c>
      <c r="F91" s="28">
        <v>0</v>
      </c>
      <c r="G91" s="28">
        <v>0</v>
      </c>
    </row>
    <row r="92" spans="1:7" ht="12.75">
      <c r="A92" s="28">
        <v>698</v>
      </c>
      <c r="B92" s="29" t="s">
        <v>147</v>
      </c>
      <c r="C92" s="28">
        <v>1690</v>
      </c>
      <c r="D92" s="303">
        <v>76</v>
      </c>
      <c r="E92" s="30">
        <v>0</v>
      </c>
      <c r="F92" s="28">
        <v>0</v>
      </c>
      <c r="G92" s="28">
        <v>0</v>
      </c>
    </row>
    <row r="93" spans="1:7" ht="12.75">
      <c r="A93" s="28">
        <v>699</v>
      </c>
      <c r="B93" s="29" t="s">
        <v>148</v>
      </c>
      <c r="C93" s="28">
        <v>1550</v>
      </c>
      <c r="D93" s="303">
        <v>94</v>
      </c>
      <c r="E93" s="30">
        <v>0</v>
      </c>
      <c r="F93" s="28">
        <v>0</v>
      </c>
      <c r="G93" s="28">
        <v>0</v>
      </c>
    </row>
    <row r="94" spans="1:7" ht="12.75">
      <c r="A94" s="28">
        <v>702</v>
      </c>
      <c r="B94" s="29" t="s">
        <v>149</v>
      </c>
      <c r="C94" s="28">
        <v>971</v>
      </c>
      <c r="D94" s="303">
        <v>170</v>
      </c>
      <c r="E94" s="30">
        <v>0</v>
      </c>
      <c r="F94" s="28">
        <v>0</v>
      </c>
      <c r="G94" s="28">
        <v>0</v>
      </c>
    </row>
    <row r="95" spans="1:7" ht="12.75">
      <c r="A95" s="28">
        <v>703</v>
      </c>
      <c r="B95" s="29" t="s">
        <v>150</v>
      </c>
      <c r="C95" s="28">
        <v>3429</v>
      </c>
      <c r="D95" s="303">
        <v>0</v>
      </c>
      <c r="E95" s="30">
        <v>0</v>
      </c>
      <c r="F95" s="28">
        <v>0</v>
      </c>
      <c r="G95" s="28">
        <v>0</v>
      </c>
    </row>
    <row r="96" spans="1:7" ht="12.75">
      <c r="A96" s="28">
        <v>704</v>
      </c>
      <c r="B96" s="29" t="s">
        <v>151</v>
      </c>
      <c r="C96" s="28">
        <v>1500</v>
      </c>
      <c r="D96" s="303">
        <v>101</v>
      </c>
      <c r="E96" s="30">
        <v>0</v>
      </c>
      <c r="F96" s="28">
        <v>0</v>
      </c>
      <c r="G96" s="28">
        <v>0</v>
      </c>
    </row>
    <row r="97" spans="1:7" ht="12.75">
      <c r="A97" s="28">
        <v>705</v>
      </c>
      <c r="B97" s="29" t="s">
        <v>152</v>
      </c>
      <c r="C97" s="28">
        <v>1592</v>
      </c>
      <c r="D97" s="303">
        <v>89</v>
      </c>
      <c r="E97" s="30">
        <v>0</v>
      </c>
      <c r="F97" s="28">
        <v>0</v>
      </c>
      <c r="G97" s="28">
        <v>0</v>
      </c>
    </row>
    <row r="98" spans="1:7" ht="12.75">
      <c r="A98" s="28">
        <v>706</v>
      </c>
      <c r="B98" s="29" t="s">
        <v>153</v>
      </c>
      <c r="C98" s="28">
        <v>2482</v>
      </c>
      <c r="D98" s="303">
        <v>0</v>
      </c>
      <c r="E98" s="30">
        <v>0</v>
      </c>
      <c r="F98" s="28">
        <v>0</v>
      </c>
      <c r="G98" s="28">
        <v>0</v>
      </c>
    </row>
    <row r="99" spans="1:7" ht="12.75">
      <c r="A99" s="28">
        <v>708</v>
      </c>
      <c r="B99" s="29" t="s">
        <v>154</v>
      </c>
      <c r="C99" s="28">
        <v>3146</v>
      </c>
      <c r="D99" s="303">
        <v>0</v>
      </c>
      <c r="E99" s="30">
        <v>0</v>
      </c>
      <c r="F99" s="28">
        <v>0</v>
      </c>
      <c r="G99" s="28">
        <v>0</v>
      </c>
    </row>
    <row r="100" spans="1:7" ht="12.75">
      <c r="A100" s="28">
        <v>709</v>
      </c>
      <c r="B100" s="29" t="s">
        <v>155</v>
      </c>
      <c r="C100" s="28">
        <v>2913</v>
      </c>
      <c r="D100" s="303">
        <v>0</v>
      </c>
      <c r="E100" s="30">
        <v>0</v>
      </c>
      <c r="F100" s="28">
        <v>0</v>
      </c>
      <c r="G100" s="28">
        <v>0</v>
      </c>
    </row>
    <row r="101" spans="1:7" ht="12.75">
      <c r="A101" s="28">
        <v>710</v>
      </c>
      <c r="B101" s="29" t="s">
        <v>156</v>
      </c>
      <c r="C101" s="28">
        <v>2913</v>
      </c>
      <c r="D101" s="303">
        <v>0</v>
      </c>
      <c r="E101" s="30">
        <v>20</v>
      </c>
      <c r="F101" s="28">
        <v>0</v>
      </c>
      <c r="G101" s="28">
        <v>0</v>
      </c>
    </row>
    <row r="102" spans="1:7" ht="12.75">
      <c r="A102" s="28">
        <v>711</v>
      </c>
      <c r="B102" s="29" t="s">
        <v>157</v>
      </c>
      <c r="C102" s="28">
        <v>2913</v>
      </c>
      <c r="D102" s="303">
        <v>0</v>
      </c>
      <c r="E102" s="30">
        <v>0</v>
      </c>
      <c r="F102" s="28">
        <v>0</v>
      </c>
      <c r="G102" s="28">
        <v>0</v>
      </c>
    </row>
    <row r="103" spans="1:7" ht="12.75">
      <c r="A103" s="28">
        <v>712</v>
      </c>
      <c r="B103" s="29" t="s">
        <v>158</v>
      </c>
      <c r="C103" s="28">
        <v>2913</v>
      </c>
      <c r="D103" s="303">
        <v>0</v>
      </c>
      <c r="E103" s="30">
        <v>0</v>
      </c>
      <c r="F103" s="28">
        <v>0</v>
      </c>
      <c r="G103" s="28">
        <v>0</v>
      </c>
    </row>
    <row r="104" spans="1:7" ht="12.75">
      <c r="A104" s="28">
        <v>713</v>
      </c>
      <c r="B104" s="29" t="s">
        <v>159</v>
      </c>
      <c r="C104" s="28">
        <v>2913</v>
      </c>
      <c r="D104" s="303">
        <v>0</v>
      </c>
      <c r="E104" s="30">
        <v>0</v>
      </c>
      <c r="F104" s="28">
        <v>0</v>
      </c>
      <c r="G104" s="28">
        <v>0</v>
      </c>
    </row>
    <row r="105" spans="1:7" ht="12.75">
      <c r="A105" s="28">
        <v>714</v>
      </c>
      <c r="B105" s="29" t="s">
        <v>160</v>
      </c>
      <c r="C105" s="28">
        <v>2913</v>
      </c>
      <c r="D105" s="303">
        <v>0</v>
      </c>
      <c r="E105" s="30">
        <v>0</v>
      </c>
      <c r="F105" s="28">
        <v>0</v>
      </c>
      <c r="G105" s="28">
        <v>0</v>
      </c>
    </row>
    <row r="106" spans="1:7" ht="12.75">
      <c r="A106" s="28">
        <v>715</v>
      </c>
      <c r="B106" s="29" t="s">
        <v>161</v>
      </c>
      <c r="C106" s="28">
        <v>1912</v>
      </c>
      <c r="D106" s="303">
        <v>47</v>
      </c>
      <c r="E106" s="30">
        <v>0</v>
      </c>
      <c r="F106" s="28">
        <v>42</v>
      </c>
      <c r="G106" s="28">
        <v>0</v>
      </c>
    </row>
    <row r="107" spans="1:7" ht="12.75">
      <c r="A107" s="28">
        <v>716</v>
      </c>
      <c r="B107" s="29" t="s">
        <v>162</v>
      </c>
      <c r="C107" s="28">
        <v>1942</v>
      </c>
      <c r="D107" s="303">
        <v>43</v>
      </c>
      <c r="E107" s="30">
        <v>0</v>
      </c>
      <c r="F107" s="28">
        <v>0</v>
      </c>
      <c r="G107" s="28">
        <v>0</v>
      </c>
    </row>
    <row r="108" spans="1:7" ht="12.75">
      <c r="A108" s="28">
        <v>717</v>
      </c>
      <c r="B108" s="29" t="s">
        <v>163</v>
      </c>
      <c r="C108" s="28">
        <v>2100</v>
      </c>
      <c r="D108" s="303">
        <v>23</v>
      </c>
      <c r="E108" s="30">
        <v>150</v>
      </c>
      <c r="F108" s="28">
        <v>0</v>
      </c>
      <c r="G108" s="28">
        <v>0</v>
      </c>
    </row>
    <row r="109" spans="1:7" ht="12.75">
      <c r="A109" s="28">
        <v>718</v>
      </c>
      <c r="B109" s="29" t="s">
        <v>164</v>
      </c>
      <c r="C109" s="28">
        <v>1942</v>
      </c>
      <c r="D109" s="303">
        <v>43</v>
      </c>
      <c r="E109" s="30">
        <v>17</v>
      </c>
      <c r="F109" s="28">
        <v>0</v>
      </c>
      <c r="G109" s="28">
        <v>0</v>
      </c>
    </row>
    <row r="110" spans="1:7" ht="12.75">
      <c r="A110" s="28">
        <v>719</v>
      </c>
      <c r="B110" s="29" t="s">
        <v>165</v>
      </c>
      <c r="C110" s="28">
        <v>1782</v>
      </c>
      <c r="D110" s="303">
        <v>64</v>
      </c>
      <c r="E110" s="30">
        <v>0</v>
      </c>
      <c r="F110" s="28">
        <v>0</v>
      </c>
      <c r="G110" s="28">
        <v>0</v>
      </c>
    </row>
    <row r="111" spans="1:7" ht="12.75">
      <c r="A111" s="28">
        <v>720</v>
      </c>
      <c r="B111" s="29" t="s">
        <v>166</v>
      </c>
      <c r="C111" s="28">
        <v>1782</v>
      </c>
      <c r="D111" s="303">
        <v>64</v>
      </c>
      <c r="E111" s="30">
        <v>17</v>
      </c>
      <c r="F111" s="28">
        <v>0</v>
      </c>
      <c r="G111" s="28">
        <v>0</v>
      </c>
    </row>
    <row r="112" spans="1:7" ht="12.75">
      <c r="A112" s="28">
        <v>721</v>
      </c>
      <c r="B112" s="29" t="s">
        <v>167</v>
      </c>
      <c r="C112" s="28">
        <v>1942</v>
      </c>
      <c r="D112" s="303">
        <v>43</v>
      </c>
      <c r="E112" s="30">
        <v>150</v>
      </c>
      <c r="F112" s="28">
        <v>0</v>
      </c>
      <c r="G112" s="28">
        <v>0</v>
      </c>
    </row>
    <row r="113" spans="1:7" ht="12.75">
      <c r="A113" s="28">
        <v>722</v>
      </c>
      <c r="B113" s="29" t="s">
        <v>168</v>
      </c>
      <c r="C113" s="28">
        <v>1692</v>
      </c>
      <c r="D113" s="303">
        <v>76</v>
      </c>
      <c r="E113" s="30">
        <v>0</v>
      </c>
      <c r="F113" s="28">
        <v>0</v>
      </c>
      <c r="G113" s="28">
        <v>0</v>
      </c>
    </row>
    <row r="114" spans="1:7" ht="12.75">
      <c r="A114" s="28">
        <v>723</v>
      </c>
      <c r="B114" s="29" t="s">
        <v>169</v>
      </c>
      <c r="C114" s="28">
        <v>1700</v>
      </c>
      <c r="D114" s="303">
        <v>75</v>
      </c>
      <c r="E114" s="30">
        <v>0</v>
      </c>
      <c r="F114" s="28">
        <v>0</v>
      </c>
      <c r="G114" s="28">
        <v>0</v>
      </c>
    </row>
    <row r="115" spans="1:7" ht="12.75">
      <c r="A115" s="28">
        <v>724</v>
      </c>
      <c r="B115" s="29" t="s">
        <v>170</v>
      </c>
      <c r="C115" s="28">
        <v>1942</v>
      </c>
      <c r="D115" s="303">
        <v>43</v>
      </c>
      <c r="E115" s="30">
        <v>150</v>
      </c>
      <c r="F115" s="28">
        <v>0</v>
      </c>
      <c r="G115" s="28">
        <v>0</v>
      </c>
    </row>
    <row r="116" spans="1:7" ht="12.75">
      <c r="A116" s="28">
        <v>725</v>
      </c>
      <c r="B116" s="29" t="s">
        <v>171</v>
      </c>
      <c r="C116" s="28">
        <v>1592</v>
      </c>
      <c r="D116" s="303">
        <v>89</v>
      </c>
      <c r="E116" s="30">
        <v>0</v>
      </c>
      <c r="F116" s="28">
        <v>0</v>
      </c>
      <c r="G116" s="28">
        <v>0</v>
      </c>
    </row>
    <row r="117" spans="1:7" ht="12.75">
      <c r="A117" s="28">
        <v>726</v>
      </c>
      <c r="B117" s="29" t="s">
        <v>172</v>
      </c>
      <c r="C117" s="28">
        <v>1500</v>
      </c>
      <c r="D117" s="303">
        <v>101</v>
      </c>
      <c r="E117" s="30">
        <v>150</v>
      </c>
      <c r="F117" s="28">
        <v>0</v>
      </c>
      <c r="G117" s="28">
        <v>0</v>
      </c>
    </row>
    <row r="118" spans="1:7" ht="12.75">
      <c r="A118" s="32">
        <v>727</v>
      </c>
      <c r="B118" s="33" t="s">
        <v>173</v>
      </c>
      <c r="C118" s="32">
        <v>1600</v>
      </c>
      <c r="D118" s="303">
        <v>88</v>
      </c>
      <c r="E118" s="34">
        <v>0</v>
      </c>
      <c r="F118" s="32">
        <v>0</v>
      </c>
      <c r="G118" s="32">
        <v>0</v>
      </c>
    </row>
    <row r="119" spans="1:7" ht="12.75">
      <c r="A119" s="28">
        <v>728</v>
      </c>
      <c r="B119" s="29" t="s">
        <v>174</v>
      </c>
      <c r="C119" s="28">
        <v>1360</v>
      </c>
      <c r="D119" s="303">
        <v>120</v>
      </c>
      <c r="E119" s="30">
        <v>17</v>
      </c>
      <c r="F119" s="28">
        <v>0</v>
      </c>
      <c r="G119" s="28">
        <v>0</v>
      </c>
    </row>
    <row r="120" spans="1:7" ht="12.75">
      <c r="A120" s="28">
        <v>729</v>
      </c>
      <c r="B120" s="29" t="s">
        <v>175</v>
      </c>
      <c r="C120" s="28">
        <v>1692</v>
      </c>
      <c r="D120" s="303">
        <v>76</v>
      </c>
      <c r="E120" s="30">
        <v>0</v>
      </c>
      <c r="F120" s="28">
        <v>0</v>
      </c>
      <c r="G120" s="28">
        <v>0</v>
      </c>
    </row>
    <row r="121" spans="1:7" ht="12.75">
      <c r="A121" s="28">
        <v>730</v>
      </c>
      <c r="B121" s="29" t="s">
        <v>176</v>
      </c>
      <c r="C121" s="28">
        <v>1700</v>
      </c>
      <c r="D121" s="303">
        <v>75</v>
      </c>
      <c r="E121" s="30">
        <v>0</v>
      </c>
      <c r="F121" s="28">
        <v>0</v>
      </c>
      <c r="G121" s="28">
        <v>0</v>
      </c>
    </row>
    <row r="122" spans="1:7" ht="12.75">
      <c r="A122" s="28">
        <v>731</v>
      </c>
      <c r="B122" s="29" t="s">
        <v>177</v>
      </c>
      <c r="C122" s="28">
        <v>1592</v>
      </c>
      <c r="D122" s="303">
        <v>89</v>
      </c>
      <c r="E122" s="30">
        <v>0</v>
      </c>
      <c r="F122" s="28">
        <v>0</v>
      </c>
      <c r="G122" s="28">
        <v>0</v>
      </c>
    </row>
    <row r="123" spans="1:7" ht="12.75">
      <c r="A123" s="28">
        <v>732</v>
      </c>
      <c r="B123" s="29" t="s">
        <v>178</v>
      </c>
      <c r="C123" s="28">
        <v>971</v>
      </c>
      <c r="D123" s="303">
        <v>170</v>
      </c>
      <c r="E123" s="30">
        <v>150</v>
      </c>
      <c r="F123" s="28">
        <v>0</v>
      </c>
      <c r="G123" s="28">
        <v>0</v>
      </c>
    </row>
    <row r="124" spans="1:7" ht="12.75">
      <c r="A124" s="28">
        <v>733</v>
      </c>
      <c r="B124" s="29" t="s">
        <v>179</v>
      </c>
      <c r="C124" s="28">
        <v>1150</v>
      </c>
      <c r="D124" s="303">
        <v>147</v>
      </c>
      <c r="E124" s="30">
        <v>0</v>
      </c>
      <c r="F124" s="28">
        <v>0</v>
      </c>
      <c r="G124" s="28">
        <v>0</v>
      </c>
    </row>
    <row r="125" spans="1:7" ht="12.75">
      <c r="A125" s="28">
        <v>734</v>
      </c>
      <c r="B125" s="29" t="s">
        <v>180</v>
      </c>
      <c r="C125" s="28">
        <v>1500</v>
      </c>
      <c r="D125" s="303">
        <v>101</v>
      </c>
      <c r="E125" s="30">
        <v>150</v>
      </c>
      <c r="F125" s="28">
        <v>0</v>
      </c>
      <c r="G125" s="28">
        <v>0</v>
      </c>
    </row>
    <row r="126" spans="1:7" ht="12.75">
      <c r="A126" s="28">
        <v>735</v>
      </c>
      <c r="B126" s="29" t="s">
        <v>181</v>
      </c>
      <c r="C126" s="28">
        <v>971</v>
      </c>
      <c r="D126" s="303">
        <v>170</v>
      </c>
      <c r="E126" s="30">
        <v>150</v>
      </c>
      <c r="F126" s="28">
        <v>0</v>
      </c>
      <c r="G126" s="28">
        <v>0</v>
      </c>
    </row>
    <row r="127" spans="1:7" ht="12.75">
      <c r="A127" s="28">
        <v>736</v>
      </c>
      <c r="B127" s="29" t="s">
        <v>182</v>
      </c>
      <c r="C127" s="28">
        <v>1600</v>
      </c>
      <c r="D127" s="303">
        <v>88</v>
      </c>
      <c r="E127" s="30">
        <v>0</v>
      </c>
      <c r="F127" s="28">
        <v>0</v>
      </c>
      <c r="G127" s="28">
        <v>0</v>
      </c>
    </row>
    <row r="128" spans="1:7" ht="12.75">
      <c r="A128" s="28">
        <v>737</v>
      </c>
      <c r="B128" s="29" t="s">
        <v>183</v>
      </c>
      <c r="C128" s="28">
        <v>971</v>
      </c>
      <c r="D128" s="303">
        <v>170</v>
      </c>
      <c r="E128" s="30">
        <v>150</v>
      </c>
      <c r="F128" s="28">
        <v>0</v>
      </c>
      <c r="G128" s="28">
        <v>0</v>
      </c>
    </row>
    <row r="129" spans="1:7" ht="12.75">
      <c r="A129" s="28">
        <v>738</v>
      </c>
      <c r="B129" s="29" t="s">
        <v>184</v>
      </c>
      <c r="C129" s="28">
        <v>971</v>
      </c>
      <c r="D129" s="303">
        <v>170</v>
      </c>
      <c r="E129" s="30">
        <v>17</v>
      </c>
      <c r="F129" s="28">
        <v>0</v>
      </c>
      <c r="G129" s="28">
        <v>0</v>
      </c>
    </row>
    <row r="130" spans="1:7" ht="12.75">
      <c r="A130" s="28">
        <v>739</v>
      </c>
      <c r="B130" s="29" t="s">
        <v>185</v>
      </c>
      <c r="C130" s="28">
        <v>971</v>
      </c>
      <c r="D130" s="303">
        <v>170</v>
      </c>
      <c r="E130" s="30">
        <v>150</v>
      </c>
      <c r="F130" s="28">
        <v>0</v>
      </c>
      <c r="G130" s="28">
        <v>0</v>
      </c>
    </row>
    <row r="131" spans="1:7" ht="12.75">
      <c r="A131" s="28">
        <v>740</v>
      </c>
      <c r="B131" s="29" t="s">
        <v>186</v>
      </c>
      <c r="C131" s="28">
        <v>971</v>
      </c>
      <c r="D131" s="303">
        <v>170</v>
      </c>
      <c r="E131" s="30">
        <v>150</v>
      </c>
      <c r="F131" s="28">
        <v>0</v>
      </c>
      <c r="G131" s="28">
        <v>0</v>
      </c>
    </row>
    <row r="132" spans="1:7" ht="12.75">
      <c r="A132" s="28">
        <v>741</v>
      </c>
      <c r="B132" s="29" t="s">
        <v>187</v>
      </c>
      <c r="C132" s="28">
        <v>1300</v>
      </c>
      <c r="D132" s="303">
        <v>127</v>
      </c>
      <c r="E132" s="30">
        <v>0</v>
      </c>
      <c r="F132" s="28">
        <v>0</v>
      </c>
      <c r="G132" s="28">
        <v>0</v>
      </c>
    </row>
    <row r="133" spans="1:7" ht="12.75">
      <c r="A133" s="28">
        <v>742</v>
      </c>
      <c r="B133" s="29" t="s">
        <v>188</v>
      </c>
      <c r="C133" s="28">
        <v>971</v>
      </c>
      <c r="D133" s="303">
        <v>170</v>
      </c>
      <c r="E133" s="30">
        <v>150</v>
      </c>
      <c r="F133" s="28">
        <v>0</v>
      </c>
      <c r="G133" s="28">
        <v>0</v>
      </c>
    </row>
    <row r="134" spans="1:7" ht="12.75">
      <c r="A134" s="35">
        <v>743</v>
      </c>
      <c r="B134" s="36" t="s">
        <v>189</v>
      </c>
      <c r="C134" s="35">
        <v>971</v>
      </c>
      <c r="D134" s="303">
        <v>170</v>
      </c>
      <c r="E134" s="37">
        <v>17</v>
      </c>
      <c r="F134" s="35">
        <v>0</v>
      </c>
      <c r="G134" s="35">
        <v>0</v>
      </c>
    </row>
    <row r="135" spans="1:7" ht="12.75">
      <c r="A135" s="28">
        <v>744</v>
      </c>
      <c r="B135" s="29" t="s">
        <v>190</v>
      </c>
      <c r="C135" s="28">
        <v>1400</v>
      </c>
      <c r="D135" s="303">
        <v>114</v>
      </c>
      <c r="E135" s="30">
        <v>0</v>
      </c>
      <c r="F135" s="28">
        <v>0</v>
      </c>
      <c r="G135" s="28">
        <v>0</v>
      </c>
    </row>
    <row r="136" spans="1:7" ht="12.75">
      <c r="A136" s="28">
        <v>745</v>
      </c>
      <c r="B136" s="29" t="s">
        <v>191</v>
      </c>
      <c r="C136" s="28">
        <v>1450</v>
      </c>
      <c r="D136" s="303">
        <v>107</v>
      </c>
      <c r="E136" s="30">
        <v>0</v>
      </c>
      <c r="F136" s="28">
        <v>0</v>
      </c>
      <c r="G136" s="28">
        <v>0</v>
      </c>
    </row>
    <row r="137" spans="1:7" ht="12.75">
      <c r="A137" s="28">
        <v>746</v>
      </c>
      <c r="B137" s="29" t="s">
        <v>192</v>
      </c>
      <c r="C137" s="28">
        <v>971</v>
      </c>
      <c r="D137" s="303">
        <v>170</v>
      </c>
      <c r="E137" s="30">
        <v>150</v>
      </c>
      <c r="F137" s="28">
        <v>0</v>
      </c>
      <c r="G137" s="28">
        <v>0</v>
      </c>
    </row>
    <row r="138" spans="1:7" ht="12.75">
      <c r="A138" s="28">
        <v>747</v>
      </c>
      <c r="B138" s="29" t="s">
        <v>193</v>
      </c>
      <c r="C138" s="28">
        <v>971</v>
      </c>
      <c r="D138" s="303">
        <v>170</v>
      </c>
      <c r="E138" s="30">
        <v>0</v>
      </c>
      <c r="F138" s="28">
        <v>0</v>
      </c>
      <c r="G138" s="28">
        <v>0</v>
      </c>
    </row>
    <row r="139" spans="1:7" ht="12.75">
      <c r="A139" s="28">
        <v>748</v>
      </c>
      <c r="B139" s="29" t="s">
        <v>194</v>
      </c>
      <c r="C139" s="28">
        <v>1250</v>
      </c>
      <c r="D139" s="303">
        <v>134</v>
      </c>
      <c r="E139" s="30">
        <v>0</v>
      </c>
      <c r="F139" s="28">
        <v>0</v>
      </c>
      <c r="G139" s="28">
        <v>0</v>
      </c>
    </row>
    <row r="140" spans="1:7" ht="12.75">
      <c r="A140" s="28">
        <v>749</v>
      </c>
      <c r="B140" s="29" t="s">
        <v>88</v>
      </c>
      <c r="C140" s="28">
        <v>971</v>
      </c>
      <c r="D140" s="303">
        <v>170</v>
      </c>
      <c r="E140" s="30">
        <v>0</v>
      </c>
      <c r="F140" s="28">
        <v>0</v>
      </c>
      <c r="G140" s="28">
        <v>0</v>
      </c>
    </row>
    <row r="141" spans="1:7" ht="12.75">
      <c r="A141" s="28">
        <v>750</v>
      </c>
      <c r="B141" s="29" t="s">
        <v>87</v>
      </c>
      <c r="C141" s="28">
        <v>971</v>
      </c>
      <c r="D141" s="303">
        <v>170</v>
      </c>
      <c r="E141" s="30">
        <v>0</v>
      </c>
      <c r="F141" s="28">
        <v>0</v>
      </c>
      <c r="G141" s="28">
        <v>0</v>
      </c>
    </row>
    <row r="142" spans="1:7" ht="12.75">
      <c r="A142" s="28">
        <v>751</v>
      </c>
      <c r="B142" s="29" t="s">
        <v>195</v>
      </c>
      <c r="C142" s="28">
        <v>1500</v>
      </c>
      <c r="D142" s="303">
        <v>101</v>
      </c>
      <c r="E142" s="30">
        <v>150</v>
      </c>
      <c r="F142" s="28">
        <v>0</v>
      </c>
      <c r="G142" s="28">
        <v>0</v>
      </c>
    </row>
    <row r="143" spans="1:7" ht="12.75">
      <c r="A143" s="28">
        <v>752</v>
      </c>
      <c r="B143" s="29" t="s">
        <v>196</v>
      </c>
      <c r="C143" s="28">
        <v>2913</v>
      </c>
      <c r="D143" s="303">
        <v>0</v>
      </c>
      <c r="E143" s="30">
        <v>20</v>
      </c>
      <c r="F143" s="28">
        <v>0</v>
      </c>
      <c r="G143" s="28">
        <v>0</v>
      </c>
    </row>
    <row r="144" spans="1:7" ht="12.75">
      <c r="A144" s="28">
        <v>753</v>
      </c>
      <c r="B144" s="29" t="s">
        <v>197</v>
      </c>
      <c r="C144" s="28">
        <v>1942</v>
      </c>
      <c r="D144" s="303">
        <v>43</v>
      </c>
      <c r="E144" s="30">
        <v>150</v>
      </c>
      <c r="F144" s="28">
        <v>0</v>
      </c>
      <c r="G144" s="28">
        <v>0</v>
      </c>
    </row>
    <row r="145" spans="1:7" ht="12.75">
      <c r="A145" s="28">
        <v>754</v>
      </c>
      <c r="B145" s="29" t="s">
        <v>198</v>
      </c>
      <c r="C145" s="28">
        <v>971</v>
      </c>
      <c r="D145" s="303">
        <v>170</v>
      </c>
      <c r="E145" s="30">
        <v>0</v>
      </c>
      <c r="F145" s="28">
        <v>0</v>
      </c>
      <c r="G145" s="28">
        <v>0</v>
      </c>
    </row>
    <row r="146" spans="1:7" ht="12.75">
      <c r="A146" s="28">
        <v>755</v>
      </c>
      <c r="B146" s="29" t="s">
        <v>199</v>
      </c>
      <c r="C146" s="28">
        <v>971</v>
      </c>
      <c r="D146" s="303">
        <v>170</v>
      </c>
      <c r="E146" s="30">
        <v>0</v>
      </c>
      <c r="F146" s="28">
        <v>0</v>
      </c>
      <c r="G146" s="28">
        <v>0</v>
      </c>
    </row>
    <row r="147" spans="1:7" ht="12.75">
      <c r="A147" s="28">
        <v>756</v>
      </c>
      <c r="B147" s="29" t="s">
        <v>200</v>
      </c>
      <c r="C147" s="28">
        <v>1290</v>
      </c>
      <c r="D147" s="303">
        <v>128</v>
      </c>
      <c r="E147" s="30">
        <v>0</v>
      </c>
      <c r="F147" s="28">
        <v>0</v>
      </c>
      <c r="G147" s="28">
        <v>0</v>
      </c>
    </row>
    <row r="148" spans="1:7" ht="12.75">
      <c r="A148" s="28">
        <v>757</v>
      </c>
      <c r="B148" s="29" t="s">
        <v>201</v>
      </c>
      <c r="C148" s="28">
        <v>971</v>
      </c>
      <c r="D148" s="303">
        <v>170</v>
      </c>
      <c r="E148" s="30">
        <v>0</v>
      </c>
      <c r="F148" s="28">
        <v>0</v>
      </c>
      <c r="G148" s="28">
        <v>0</v>
      </c>
    </row>
    <row r="149" spans="1:7" ht="12.75">
      <c r="A149" s="28">
        <v>758</v>
      </c>
      <c r="B149" s="29" t="s">
        <v>202</v>
      </c>
      <c r="C149" s="28">
        <v>971</v>
      </c>
      <c r="D149" s="303">
        <v>170</v>
      </c>
      <c r="E149" s="30">
        <v>0</v>
      </c>
      <c r="F149" s="28">
        <v>0</v>
      </c>
      <c r="G149" s="28">
        <v>0</v>
      </c>
    </row>
    <row r="150" spans="1:7" ht="12.75">
      <c r="A150" s="28">
        <v>759</v>
      </c>
      <c r="B150" s="29" t="s">
        <v>203</v>
      </c>
      <c r="C150" s="28">
        <v>971</v>
      </c>
      <c r="D150" s="303">
        <v>170</v>
      </c>
      <c r="E150" s="30">
        <v>150</v>
      </c>
      <c r="F150" s="28">
        <v>0</v>
      </c>
      <c r="G150" s="28">
        <v>0</v>
      </c>
    </row>
    <row r="151" spans="1:7" ht="12.75">
      <c r="A151" s="28">
        <v>760</v>
      </c>
      <c r="B151" s="29" t="s">
        <v>204</v>
      </c>
      <c r="C151" s="28">
        <v>1400</v>
      </c>
      <c r="D151" s="303">
        <v>114</v>
      </c>
      <c r="E151" s="30">
        <v>0</v>
      </c>
      <c r="F151" s="28">
        <v>0</v>
      </c>
      <c r="G151" s="28">
        <v>0</v>
      </c>
    </row>
    <row r="152" spans="1:7" ht="12.75">
      <c r="A152" s="28">
        <v>761</v>
      </c>
      <c r="B152" s="29" t="s">
        <v>205</v>
      </c>
      <c r="C152" s="28">
        <v>1700</v>
      </c>
      <c r="D152" s="303">
        <v>75</v>
      </c>
      <c r="E152" s="30">
        <v>150</v>
      </c>
      <c r="F152" s="28">
        <v>0</v>
      </c>
      <c r="G152" s="28">
        <v>0</v>
      </c>
    </row>
    <row r="153" spans="1:7" ht="12.75">
      <c r="A153" s="28">
        <v>762</v>
      </c>
      <c r="B153" s="29" t="s">
        <v>206</v>
      </c>
      <c r="C153" s="28">
        <v>971</v>
      </c>
      <c r="D153" s="303">
        <v>170</v>
      </c>
      <c r="E153" s="30">
        <v>0</v>
      </c>
      <c r="F153" s="28">
        <v>0</v>
      </c>
      <c r="G153" s="28">
        <v>0</v>
      </c>
    </row>
    <row r="154" spans="1:7" ht="12.75">
      <c r="A154" s="28">
        <v>763</v>
      </c>
      <c r="B154" s="29" t="s">
        <v>207</v>
      </c>
      <c r="C154" s="28">
        <v>971</v>
      </c>
      <c r="D154" s="303">
        <v>170</v>
      </c>
      <c r="E154" s="30">
        <v>0</v>
      </c>
      <c r="F154" s="28">
        <v>0</v>
      </c>
      <c r="G154" s="28">
        <v>0</v>
      </c>
    </row>
    <row r="155" spans="1:7" ht="12.75">
      <c r="A155" s="28">
        <v>764</v>
      </c>
      <c r="B155" s="29" t="s">
        <v>208</v>
      </c>
      <c r="C155" s="28">
        <v>1500</v>
      </c>
      <c r="D155" s="303">
        <v>101</v>
      </c>
      <c r="E155" s="30">
        <v>150</v>
      </c>
      <c r="F155" s="28">
        <v>0</v>
      </c>
      <c r="G155" s="28">
        <v>0</v>
      </c>
    </row>
    <row r="156" spans="1:7" ht="12.75">
      <c r="A156" s="28">
        <v>765</v>
      </c>
      <c r="B156" s="29" t="s">
        <v>209</v>
      </c>
      <c r="C156" s="28">
        <v>1500</v>
      </c>
      <c r="D156" s="303">
        <v>101</v>
      </c>
      <c r="E156" s="30">
        <v>150</v>
      </c>
      <c r="F156" s="28">
        <v>0</v>
      </c>
      <c r="G156" s="28">
        <v>0</v>
      </c>
    </row>
    <row r="157" spans="1:7" ht="12.75">
      <c r="A157" s="28">
        <v>766</v>
      </c>
      <c r="B157" s="29" t="s">
        <v>210</v>
      </c>
      <c r="C157" s="28">
        <v>1942</v>
      </c>
      <c r="D157" s="303">
        <v>43</v>
      </c>
      <c r="E157" s="30">
        <v>150</v>
      </c>
      <c r="F157" s="28">
        <v>0</v>
      </c>
      <c r="G157" s="28">
        <v>0</v>
      </c>
    </row>
    <row r="158" spans="1:7" ht="12.75">
      <c r="A158" s="28">
        <v>767</v>
      </c>
      <c r="B158" s="29" t="s">
        <v>211</v>
      </c>
      <c r="C158" s="28">
        <v>1700</v>
      </c>
      <c r="D158" s="303">
        <v>75</v>
      </c>
      <c r="E158" s="30">
        <v>150</v>
      </c>
      <c r="F158" s="28">
        <v>0</v>
      </c>
      <c r="G158" s="28">
        <v>0</v>
      </c>
    </row>
    <row r="159" spans="1:7" ht="12.75">
      <c r="A159" s="28">
        <v>768</v>
      </c>
      <c r="B159" s="29" t="s">
        <v>212</v>
      </c>
      <c r="C159" s="28">
        <v>971</v>
      </c>
      <c r="D159" s="303">
        <v>170</v>
      </c>
      <c r="E159" s="30">
        <v>150</v>
      </c>
      <c r="F159" s="28">
        <v>0</v>
      </c>
      <c r="G159" s="28">
        <v>0</v>
      </c>
    </row>
    <row r="160" spans="1:7" ht="12.75">
      <c r="A160" s="28">
        <v>769</v>
      </c>
      <c r="B160" s="29" t="s">
        <v>213</v>
      </c>
      <c r="C160" s="28">
        <v>2913</v>
      </c>
      <c r="D160" s="303">
        <v>0</v>
      </c>
      <c r="E160" s="30">
        <v>0</v>
      </c>
      <c r="F160" s="28">
        <v>0</v>
      </c>
      <c r="G160" s="28">
        <v>0</v>
      </c>
    </row>
    <row r="161" spans="1:7" ht="12.75">
      <c r="A161" s="28">
        <v>770</v>
      </c>
      <c r="B161" s="29" t="s">
        <v>214</v>
      </c>
      <c r="C161" s="28">
        <v>2913</v>
      </c>
      <c r="D161" s="303">
        <v>0</v>
      </c>
      <c r="E161" s="30">
        <v>0</v>
      </c>
      <c r="F161" s="28">
        <v>0</v>
      </c>
      <c r="G161" s="28">
        <v>0</v>
      </c>
    </row>
    <row r="162" spans="1:7" ht="12.75">
      <c r="A162" s="28">
        <v>771</v>
      </c>
      <c r="B162" s="29" t="s">
        <v>215</v>
      </c>
      <c r="C162" s="28">
        <v>971</v>
      </c>
      <c r="D162" s="303">
        <v>170</v>
      </c>
      <c r="E162" s="30">
        <v>0</v>
      </c>
      <c r="F162" s="28">
        <v>0</v>
      </c>
      <c r="G162" s="28">
        <v>620</v>
      </c>
    </row>
    <row r="163" spans="1:7" ht="12.75">
      <c r="A163" s="28">
        <v>772</v>
      </c>
      <c r="B163" s="29" t="s">
        <v>216</v>
      </c>
      <c r="C163" s="28">
        <v>971</v>
      </c>
      <c r="D163" s="303">
        <v>170</v>
      </c>
      <c r="E163" s="30">
        <v>0</v>
      </c>
      <c r="F163" s="28">
        <v>0</v>
      </c>
      <c r="G163" s="28">
        <v>620</v>
      </c>
    </row>
    <row r="164" spans="1:7" ht="12.75">
      <c r="A164" s="28">
        <v>773</v>
      </c>
      <c r="B164" s="29" t="s">
        <v>217</v>
      </c>
      <c r="C164" s="28">
        <v>1942</v>
      </c>
      <c r="D164" s="303">
        <v>43</v>
      </c>
      <c r="E164" s="30">
        <v>0</v>
      </c>
      <c r="F164" s="28">
        <v>0</v>
      </c>
      <c r="G164" s="28">
        <v>669</v>
      </c>
    </row>
    <row r="165" spans="1:7" ht="12.75">
      <c r="A165" s="28">
        <v>774</v>
      </c>
      <c r="B165" s="29" t="s">
        <v>218</v>
      </c>
      <c r="C165" s="28">
        <v>1700</v>
      </c>
      <c r="D165" s="303">
        <v>75</v>
      </c>
      <c r="E165" s="30">
        <v>0</v>
      </c>
      <c r="F165" s="28">
        <v>0</v>
      </c>
      <c r="G165" s="28">
        <v>657</v>
      </c>
    </row>
    <row r="166" spans="1:7" ht="12.75">
      <c r="A166" s="28">
        <v>775</v>
      </c>
      <c r="B166" s="29" t="s">
        <v>219</v>
      </c>
      <c r="C166" s="28">
        <v>1400</v>
      </c>
      <c r="D166" s="303">
        <v>114</v>
      </c>
      <c r="E166" s="30">
        <v>150</v>
      </c>
      <c r="F166" s="28">
        <v>0</v>
      </c>
      <c r="G166" s="28">
        <v>0</v>
      </c>
    </row>
    <row r="167" spans="1:7" ht="12.75">
      <c r="A167" s="28">
        <v>776</v>
      </c>
      <c r="B167" s="29" t="s">
        <v>220</v>
      </c>
      <c r="C167" s="28">
        <v>971</v>
      </c>
      <c r="D167" s="303">
        <v>170</v>
      </c>
      <c r="E167" s="30">
        <v>0</v>
      </c>
      <c r="F167" s="28">
        <v>0</v>
      </c>
      <c r="G167" s="28">
        <v>0</v>
      </c>
    </row>
    <row r="168" spans="1:7" ht="12.75">
      <c r="A168" s="28">
        <v>777</v>
      </c>
      <c r="B168" s="29" t="s">
        <v>221</v>
      </c>
      <c r="C168" s="28">
        <v>971</v>
      </c>
      <c r="D168" s="303">
        <v>170</v>
      </c>
      <c r="E168" s="30">
        <v>0</v>
      </c>
      <c r="F168" s="28">
        <v>0</v>
      </c>
      <c r="G168" s="28">
        <v>155</v>
      </c>
    </row>
    <row r="169" spans="1:7" ht="12.75">
      <c r="A169" s="28">
        <v>778</v>
      </c>
      <c r="B169" s="29" t="s">
        <v>222</v>
      </c>
      <c r="C169" s="28">
        <v>1692</v>
      </c>
      <c r="D169" s="303">
        <v>76</v>
      </c>
      <c r="E169" s="30">
        <v>17</v>
      </c>
      <c r="F169" s="28">
        <v>0</v>
      </c>
      <c r="G169" s="28">
        <v>0</v>
      </c>
    </row>
    <row r="170" spans="1:7" ht="12.75">
      <c r="A170" s="28">
        <v>779</v>
      </c>
      <c r="B170" s="31" t="s">
        <v>223</v>
      </c>
      <c r="C170" s="28">
        <v>853</v>
      </c>
      <c r="D170" s="303">
        <v>779</v>
      </c>
      <c r="E170" s="30">
        <v>0</v>
      </c>
      <c r="F170" s="28">
        <v>0</v>
      </c>
      <c r="G170" s="28">
        <v>0</v>
      </c>
    </row>
    <row r="171" spans="1:7" ht="12.75">
      <c r="A171" s="28">
        <v>780</v>
      </c>
      <c r="B171" s="29" t="s">
        <v>224</v>
      </c>
      <c r="C171" s="28">
        <v>3146</v>
      </c>
      <c r="D171" s="303">
        <v>0</v>
      </c>
      <c r="E171" s="30">
        <v>0</v>
      </c>
      <c r="F171" s="28">
        <v>0</v>
      </c>
      <c r="G171" s="28">
        <v>0</v>
      </c>
    </row>
    <row r="172" spans="1:7" ht="12.75">
      <c r="A172" s="28">
        <v>781</v>
      </c>
      <c r="B172" s="29" t="s">
        <v>225</v>
      </c>
      <c r="C172" s="28">
        <v>2288</v>
      </c>
      <c r="D172" s="303">
        <v>0</v>
      </c>
      <c r="E172" s="30">
        <v>0</v>
      </c>
      <c r="F172" s="28">
        <v>0</v>
      </c>
      <c r="G172" s="28">
        <v>0</v>
      </c>
    </row>
    <row r="173" spans="1:7" ht="12.75">
      <c r="A173" s="28">
        <v>783</v>
      </c>
      <c r="B173" s="29" t="s">
        <v>226</v>
      </c>
      <c r="C173" s="28">
        <v>971</v>
      </c>
      <c r="D173" s="303">
        <v>170</v>
      </c>
      <c r="E173" s="30">
        <v>0</v>
      </c>
      <c r="F173" s="28">
        <v>0</v>
      </c>
      <c r="G173" s="28">
        <v>0</v>
      </c>
    </row>
    <row r="174" spans="1:7" ht="12.75">
      <c r="A174" s="28">
        <v>784</v>
      </c>
      <c r="B174" s="29" t="s">
        <v>227</v>
      </c>
      <c r="C174" s="28">
        <v>2490</v>
      </c>
      <c r="D174" s="303">
        <v>0</v>
      </c>
      <c r="E174" s="30">
        <v>0</v>
      </c>
      <c r="F174" s="28">
        <v>0</v>
      </c>
      <c r="G174" s="28">
        <v>0</v>
      </c>
    </row>
    <row r="175" spans="1:7" ht="12.75">
      <c r="A175" s="28">
        <v>788</v>
      </c>
      <c r="B175" s="29" t="s">
        <v>228</v>
      </c>
      <c r="C175" s="28">
        <v>2000</v>
      </c>
      <c r="D175" s="303">
        <v>36</v>
      </c>
      <c r="E175" s="30">
        <v>0</v>
      </c>
      <c r="F175" s="28">
        <v>0</v>
      </c>
      <c r="G175" s="28">
        <v>0</v>
      </c>
    </row>
    <row r="176" spans="1:7" ht="12.75">
      <c r="A176" s="28">
        <v>789</v>
      </c>
      <c r="B176" s="29" t="s">
        <v>229</v>
      </c>
      <c r="C176" s="28">
        <v>971</v>
      </c>
      <c r="D176" s="303">
        <v>170</v>
      </c>
      <c r="E176" s="30">
        <v>0</v>
      </c>
      <c r="F176" s="28">
        <v>0</v>
      </c>
      <c r="G176" s="28">
        <v>0</v>
      </c>
    </row>
    <row r="177" spans="1:7" ht="12.75">
      <c r="A177" s="28">
        <v>791</v>
      </c>
      <c r="B177" s="29" t="s">
        <v>230</v>
      </c>
      <c r="C177" s="28">
        <v>2913</v>
      </c>
      <c r="D177" s="303">
        <v>0</v>
      </c>
      <c r="E177" s="30">
        <v>17</v>
      </c>
      <c r="F177" s="28">
        <v>0</v>
      </c>
      <c r="G177" s="28">
        <v>0</v>
      </c>
    </row>
    <row r="178" spans="1:7" ht="12.75">
      <c r="A178" s="28">
        <v>792</v>
      </c>
      <c r="B178" s="29" t="s">
        <v>231</v>
      </c>
      <c r="C178" s="28">
        <v>2913</v>
      </c>
      <c r="D178" s="303">
        <v>0</v>
      </c>
      <c r="E178" s="30">
        <v>0</v>
      </c>
      <c r="F178" s="28">
        <v>0</v>
      </c>
      <c r="G178" s="28">
        <v>0</v>
      </c>
    </row>
    <row r="179" spans="1:7" ht="12.75">
      <c r="A179" s="28">
        <v>793</v>
      </c>
      <c r="B179" s="29" t="s">
        <v>232</v>
      </c>
      <c r="C179" s="28">
        <v>2913</v>
      </c>
      <c r="D179" s="303">
        <v>0</v>
      </c>
      <c r="E179" s="30">
        <v>0</v>
      </c>
      <c r="F179" s="28">
        <v>0</v>
      </c>
      <c r="G179" s="28">
        <v>0</v>
      </c>
    </row>
    <row r="180" spans="1:7" ht="12.75">
      <c r="A180" s="28">
        <v>794</v>
      </c>
      <c r="B180" s="29" t="s">
        <v>233</v>
      </c>
      <c r="C180" s="28">
        <v>1840</v>
      </c>
      <c r="D180" s="303">
        <v>57</v>
      </c>
      <c r="E180" s="30">
        <v>0</v>
      </c>
      <c r="F180" s="28">
        <v>0</v>
      </c>
      <c r="G180" s="28">
        <v>0</v>
      </c>
    </row>
    <row r="181" spans="1:7" ht="12.75">
      <c r="A181" s="28">
        <v>795</v>
      </c>
      <c r="B181" s="29" t="s">
        <v>234</v>
      </c>
      <c r="C181" s="28">
        <v>1450</v>
      </c>
      <c r="D181" s="303">
        <v>107</v>
      </c>
      <c r="E181" s="30">
        <v>0</v>
      </c>
      <c r="F181" s="28">
        <v>0</v>
      </c>
      <c r="G181" s="28">
        <v>0</v>
      </c>
    </row>
    <row r="182" spans="1:7" ht="12.75">
      <c r="A182" s="28">
        <v>796</v>
      </c>
      <c r="B182" s="29" t="s">
        <v>235</v>
      </c>
      <c r="C182" s="28">
        <v>1340</v>
      </c>
      <c r="D182" s="303">
        <v>122</v>
      </c>
      <c r="E182" s="30">
        <v>0</v>
      </c>
      <c r="F182" s="28">
        <v>0</v>
      </c>
      <c r="G182" s="28">
        <v>0</v>
      </c>
    </row>
    <row r="183" spans="1:7" ht="12.75">
      <c r="A183" s="28">
        <v>797</v>
      </c>
      <c r="B183" s="29" t="s">
        <v>236</v>
      </c>
      <c r="C183" s="28">
        <v>1170</v>
      </c>
      <c r="D183" s="303">
        <v>144</v>
      </c>
      <c r="E183" s="30">
        <v>0</v>
      </c>
      <c r="F183" s="28">
        <v>0</v>
      </c>
      <c r="G183" s="28">
        <v>0</v>
      </c>
    </row>
    <row r="184" spans="1:7" ht="12.75">
      <c r="A184" s="28">
        <v>798</v>
      </c>
      <c r="B184" s="29" t="s">
        <v>237</v>
      </c>
      <c r="C184" s="28">
        <v>961</v>
      </c>
      <c r="D184" s="303">
        <v>171</v>
      </c>
      <c r="E184" s="30">
        <v>0</v>
      </c>
      <c r="F184" s="28">
        <v>0</v>
      </c>
      <c r="G184" s="28">
        <v>0</v>
      </c>
    </row>
    <row r="185" spans="1:7" ht="12.75">
      <c r="A185" s="28">
        <v>808</v>
      </c>
      <c r="B185" s="29" t="s">
        <v>238</v>
      </c>
      <c r="C185" s="28">
        <v>1942</v>
      </c>
      <c r="D185" s="303">
        <v>43</v>
      </c>
      <c r="E185" s="30">
        <v>0</v>
      </c>
      <c r="F185" s="28">
        <v>0</v>
      </c>
      <c r="G185" s="28">
        <v>669</v>
      </c>
    </row>
    <row r="186" spans="1:7" ht="12.75">
      <c r="A186" s="28">
        <v>809</v>
      </c>
      <c r="B186" s="29" t="s">
        <v>239</v>
      </c>
      <c r="C186" s="28">
        <v>1782</v>
      </c>
      <c r="D186" s="303">
        <v>64</v>
      </c>
      <c r="E186" s="30">
        <v>0</v>
      </c>
      <c r="F186" s="28">
        <v>0</v>
      </c>
      <c r="G186" s="28">
        <v>669</v>
      </c>
    </row>
    <row r="187" spans="1:7" ht="12.75">
      <c r="A187" s="28">
        <v>810</v>
      </c>
      <c r="B187" s="29" t="s">
        <v>240</v>
      </c>
      <c r="C187" s="28">
        <v>1692</v>
      </c>
      <c r="D187" s="303">
        <v>76</v>
      </c>
      <c r="E187" s="30">
        <v>0</v>
      </c>
      <c r="F187" s="28">
        <v>0</v>
      </c>
      <c r="G187" s="28">
        <v>663</v>
      </c>
    </row>
    <row r="188" spans="1:7" ht="12.75">
      <c r="A188" s="28">
        <v>811</v>
      </c>
      <c r="B188" s="29" t="s">
        <v>241</v>
      </c>
      <c r="C188" s="28">
        <v>1592</v>
      </c>
      <c r="D188" s="303">
        <v>89</v>
      </c>
      <c r="E188" s="30">
        <v>0</v>
      </c>
      <c r="F188" s="28">
        <v>0</v>
      </c>
      <c r="G188" s="28">
        <v>657</v>
      </c>
    </row>
    <row r="189" spans="1:7" ht="12.75">
      <c r="A189" s="28">
        <v>812</v>
      </c>
      <c r="B189" s="29" t="s">
        <v>242</v>
      </c>
      <c r="C189" s="28">
        <v>1600</v>
      </c>
      <c r="D189" s="303">
        <v>88</v>
      </c>
      <c r="E189" s="30">
        <v>0</v>
      </c>
      <c r="F189" s="28">
        <v>0</v>
      </c>
      <c r="G189" s="28">
        <v>657</v>
      </c>
    </row>
    <row r="190" spans="1:7" ht="12.75">
      <c r="A190" s="28">
        <v>813</v>
      </c>
      <c r="B190" s="29" t="s">
        <v>243</v>
      </c>
      <c r="C190" s="28">
        <v>971</v>
      </c>
      <c r="D190" s="303">
        <v>170</v>
      </c>
      <c r="E190" s="30">
        <v>0</v>
      </c>
      <c r="F190" s="28">
        <v>0</v>
      </c>
      <c r="G190" s="28">
        <v>620</v>
      </c>
    </row>
    <row r="191" spans="1:7" ht="12.75">
      <c r="A191" s="28">
        <v>814</v>
      </c>
      <c r="B191" s="29" t="s">
        <v>244</v>
      </c>
      <c r="C191" s="28">
        <v>971</v>
      </c>
      <c r="D191" s="303">
        <v>170</v>
      </c>
      <c r="E191" s="30">
        <v>0</v>
      </c>
      <c r="F191" s="28">
        <v>0</v>
      </c>
      <c r="G191" s="28">
        <v>155</v>
      </c>
    </row>
    <row r="192" spans="1:7" ht="12.75">
      <c r="A192" s="28">
        <v>815</v>
      </c>
      <c r="B192" s="29" t="s">
        <v>245</v>
      </c>
      <c r="C192" s="28">
        <v>971</v>
      </c>
      <c r="D192" s="303">
        <v>170</v>
      </c>
      <c r="E192" s="30">
        <v>17</v>
      </c>
      <c r="F192" s="28">
        <v>0</v>
      </c>
      <c r="G192" s="28">
        <v>0</v>
      </c>
    </row>
    <row r="193" spans="1:7" ht="12.75">
      <c r="A193" s="28">
        <v>816</v>
      </c>
      <c r="B193" s="29" t="s">
        <v>246</v>
      </c>
      <c r="C193" s="28">
        <v>1600</v>
      </c>
      <c r="D193" s="303">
        <v>88</v>
      </c>
      <c r="E193" s="30">
        <v>17</v>
      </c>
      <c r="F193" s="28">
        <v>0</v>
      </c>
      <c r="G193" s="28">
        <v>0</v>
      </c>
    </row>
    <row r="194" spans="1:7" ht="12.75">
      <c r="A194" s="28">
        <v>817</v>
      </c>
      <c r="B194" s="29" t="s">
        <v>247</v>
      </c>
      <c r="C194" s="28">
        <v>1782</v>
      </c>
      <c r="D194" s="303">
        <v>64</v>
      </c>
      <c r="E194" s="30">
        <v>0</v>
      </c>
      <c r="F194" s="28">
        <v>0</v>
      </c>
      <c r="G194" s="28">
        <v>839</v>
      </c>
    </row>
    <row r="195" spans="1:7" ht="12.75">
      <c r="A195" s="28">
        <v>818</v>
      </c>
      <c r="B195" s="29" t="s">
        <v>248</v>
      </c>
      <c r="C195" s="28">
        <v>971</v>
      </c>
      <c r="D195" s="303">
        <v>170</v>
      </c>
      <c r="E195" s="30">
        <v>0</v>
      </c>
      <c r="F195" s="28">
        <v>0</v>
      </c>
      <c r="G195" s="28">
        <v>659</v>
      </c>
    </row>
    <row r="196" spans="1:7" ht="12.75">
      <c r="A196" s="28">
        <v>819</v>
      </c>
      <c r="B196" s="29" t="s">
        <v>249</v>
      </c>
      <c r="C196" s="28">
        <v>971</v>
      </c>
      <c r="D196" s="303">
        <v>170</v>
      </c>
      <c r="E196" s="30">
        <v>0</v>
      </c>
      <c r="F196" s="28">
        <v>0</v>
      </c>
      <c r="G196" s="28">
        <v>155</v>
      </c>
    </row>
    <row r="197" spans="1:7" ht="12.75">
      <c r="A197" s="28">
        <v>820</v>
      </c>
      <c r="B197" s="29" t="s">
        <v>250</v>
      </c>
      <c r="C197" s="28">
        <v>1692</v>
      </c>
      <c r="D197" s="303">
        <v>76</v>
      </c>
      <c r="E197" s="30">
        <v>0</v>
      </c>
      <c r="F197" s="28">
        <v>0</v>
      </c>
      <c r="G197" s="28">
        <v>839</v>
      </c>
    </row>
    <row r="198" spans="1:7" ht="12.75">
      <c r="A198" s="28">
        <v>821</v>
      </c>
      <c r="B198" s="29" t="s">
        <v>251</v>
      </c>
      <c r="C198" s="28">
        <v>1592</v>
      </c>
      <c r="D198" s="303">
        <v>89</v>
      </c>
      <c r="E198" s="30">
        <v>0</v>
      </c>
      <c r="F198" s="28">
        <v>0</v>
      </c>
      <c r="G198" s="28">
        <v>839</v>
      </c>
    </row>
    <row r="199" spans="1:7" ht="12.75">
      <c r="A199" s="28">
        <v>822</v>
      </c>
      <c r="B199" s="29" t="s">
        <v>252</v>
      </c>
      <c r="C199" s="28">
        <v>971</v>
      </c>
      <c r="D199" s="303">
        <v>170</v>
      </c>
      <c r="E199" s="30">
        <v>0</v>
      </c>
      <c r="F199" s="28">
        <v>0</v>
      </c>
      <c r="G199" s="28">
        <v>155</v>
      </c>
    </row>
    <row r="200" spans="1:7" ht="12.75">
      <c r="A200" s="28">
        <v>823</v>
      </c>
      <c r="B200" s="29" t="s">
        <v>253</v>
      </c>
      <c r="C200" s="28">
        <v>1700</v>
      </c>
      <c r="D200" s="303">
        <v>75</v>
      </c>
      <c r="E200" s="30">
        <v>0</v>
      </c>
      <c r="F200" s="28">
        <v>0</v>
      </c>
      <c r="G200" s="28">
        <v>657</v>
      </c>
    </row>
    <row r="201" spans="1:7" ht="12.75">
      <c r="A201" s="28">
        <v>824</v>
      </c>
      <c r="B201" s="29" t="s">
        <v>254</v>
      </c>
      <c r="C201" s="28">
        <v>1400</v>
      </c>
      <c r="D201" s="303">
        <v>114</v>
      </c>
      <c r="E201" s="30">
        <v>0</v>
      </c>
      <c r="F201" s="28">
        <v>0</v>
      </c>
      <c r="G201" s="28">
        <v>657</v>
      </c>
    </row>
    <row r="202" spans="1:7" ht="12.75">
      <c r="A202" s="28">
        <v>825</v>
      </c>
      <c r="B202" s="29" t="s">
        <v>255</v>
      </c>
      <c r="C202" s="28">
        <v>1300</v>
      </c>
      <c r="D202" s="303">
        <v>127</v>
      </c>
      <c r="E202" s="30">
        <v>0</v>
      </c>
      <c r="F202" s="28">
        <v>0</v>
      </c>
      <c r="G202" s="28">
        <v>657</v>
      </c>
    </row>
    <row r="203" spans="1:7" ht="12.75">
      <c r="A203" s="28">
        <v>826</v>
      </c>
      <c r="B203" s="29" t="s">
        <v>256</v>
      </c>
      <c r="C203" s="28">
        <v>1250</v>
      </c>
      <c r="D203" s="303">
        <v>134</v>
      </c>
      <c r="E203" s="30">
        <v>0</v>
      </c>
      <c r="F203" s="28">
        <v>0</v>
      </c>
      <c r="G203" s="28">
        <v>657</v>
      </c>
    </row>
    <row r="204" spans="1:7" ht="12.75">
      <c r="A204" s="28">
        <v>827</v>
      </c>
      <c r="B204" s="29" t="s">
        <v>257</v>
      </c>
      <c r="C204" s="28">
        <v>3146</v>
      </c>
      <c r="D204" s="303">
        <v>0</v>
      </c>
      <c r="E204" s="30">
        <v>0</v>
      </c>
      <c r="F204" s="28">
        <v>0</v>
      </c>
      <c r="G204" s="28">
        <v>0</v>
      </c>
    </row>
    <row r="205" spans="1:7" ht="12.75">
      <c r="A205" s="28">
        <v>828</v>
      </c>
      <c r="B205" s="29" t="s">
        <v>258</v>
      </c>
      <c r="C205" s="28">
        <v>2913</v>
      </c>
      <c r="D205" s="303">
        <v>0</v>
      </c>
      <c r="E205" s="30">
        <v>0</v>
      </c>
      <c r="F205" s="28">
        <v>0</v>
      </c>
      <c r="G205" s="28">
        <v>0</v>
      </c>
    </row>
    <row r="206" spans="1:7" ht="12.75">
      <c r="A206" s="28">
        <v>829</v>
      </c>
      <c r="B206" s="29" t="s">
        <v>259</v>
      </c>
      <c r="C206" s="28">
        <v>1942</v>
      </c>
      <c r="D206" s="303">
        <v>43</v>
      </c>
      <c r="E206" s="30">
        <v>0</v>
      </c>
      <c r="F206" s="28">
        <v>0</v>
      </c>
      <c r="G206" s="28">
        <v>0</v>
      </c>
    </row>
    <row r="207" spans="1:7" ht="12.75">
      <c r="A207" s="28">
        <v>830</v>
      </c>
      <c r="B207" s="29" t="s">
        <v>260</v>
      </c>
      <c r="C207" s="28">
        <v>1740</v>
      </c>
      <c r="D207" s="303">
        <v>70</v>
      </c>
      <c r="E207" s="30">
        <v>0</v>
      </c>
      <c r="F207" s="28">
        <v>0</v>
      </c>
      <c r="G207" s="28">
        <v>0</v>
      </c>
    </row>
    <row r="208" spans="1:7" ht="12.75">
      <c r="A208" s="28">
        <v>831</v>
      </c>
      <c r="B208" s="29" t="s">
        <v>261</v>
      </c>
      <c r="C208" s="28">
        <v>971</v>
      </c>
      <c r="D208" s="303">
        <v>170</v>
      </c>
      <c r="E208" s="30">
        <v>0</v>
      </c>
      <c r="F208" s="28">
        <v>0</v>
      </c>
      <c r="G208" s="28">
        <v>0</v>
      </c>
    </row>
    <row r="209" spans="1:7" ht="12.75">
      <c r="A209" s="28">
        <v>832</v>
      </c>
      <c r="B209" s="29" t="s">
        <v>262</v>
      </c>
      <c r="C209" s="28">
        <v>2913</v>
      </c>
      <c r="D209" s="303">
        <v>0</v>
      </c>
      <c r="E209" s="30">
        <v>0</v>
      </c>
      <c r="F209" s="28">
        <v>0</v>
      </c>
      <c r="G209" s="28">
        <v>0</v>
      </c>
    </row>
    <row r="210" spans="1:7" ht="12.75">
      <c r="A210" s="28">
        <v>833</v>
      </c>
      <c r="B210" s="29" t="s">
        <v>263</v>
      </c>
      <c r="C210" s="28">
        <v>971</v>
      </c>
      <c r="D210" s="303">
        <v>170</v>
      </c>
      <c r="E210" s="30">
        <v>0</v>
      </c>
      <c r="F210" s="28">
        <v>0</v>
      </c>
      <c r="G210" s="28">
        <v>155</v>
      </c>
    </row>
    <row r="211" spans="1:7" ht="12.75">
      <c r="A211" s="28">
        <v>834</v>
      </c>
      <c r="B211" s="29" t="s">
        <v>264</v>
      </c>
      <c r="C211" s="28">
        <v>971</v>
      </c>
      <c r="D211" s="303">
        <v>170</v>
      </c>
      <c r="E211" s="30">
        <v>0</v>
      </c>
      <c r="F211" s="28">
        <v>0</v>
      </c>
      <c r="G211" s="28">
        <v>155</v>
      </c>
    </row>
    <row r="212" spans="1:7" ht="12.75">
      <c r="A212" s="28">
        <v>835</v>
      </c>
      <c r="B212" s="29" t="s">
        <v>265</v>
      </c>
      <c r="C212" s="28">
        <v>971</v>
      </c>
      <c r="D212" s="303">
        <v>170</v>
      </c>
      <c r="E212" s="30">
        <v>0</v>
      </c>
      <c r="F212" s="28">
        <v>0</v>
      </c>
      <c r="G212" s="28">
        <v>0</v>
      </c>
    </row>
    <row r="213" spans="1:7" ht="12.75">
      <c r="A213" s="28">
        <v>836</v>
      </c>
      <c r="B213" s="29" t="s">
        <v>266</v>
      </c>
      <c r="C213" s="28">
        <v>971</v>
      </c>
      <c r="D213" s="303">
        <v>170</v>
      </c>
      <c r="E213" s="30">
        <v>0</v>
      </c>
      <c r="F213" s="28">
        <v>0</v>
      </c>
      <c r="G213" s="28">
        <v>155</v>
      </c>
    </row>
    <row r="214" spans="1:7" ht="12.75">
      <c r="A214" s="28">
        <v>837</v>
      </c>
      <c r="B214" s="29" t="s">
        <v>267</v>
      </c>
      <c r="C214" s="28">
        <v>971</v>
      </c>
      <c r="D214" s="303">
        <v>170</v>
      </c>
      <c r="E214" s="30">
        <v>0</v>
      </c>
      <c r="F214" s="28">
        <v>0</v>
      </c>
      <c r="G214" s="28">
        <v>155</v>
      </c>
    </row>
    <row r="215" spans="1:7" ht="12.75">
      <c r="A215" s="28">
        <v>839</v>
      </c>
      <c r="B215" s="29" t="s">
        <v>268</v>
      </c>
      <c r="C215" s="28">
        <v>971</v>
      </c>
      <c r="D215" s="303">
        <v>170</v>
      </c>
      <c r="E215" s="30">
        <v>0</v>
      </c>
      <c r="F215" s="28">
        <v>0</v>
      </c>
      <c r="G215" s="28">
        <v>155</v>
      </c>
    </row>
    <row r="216" spans="1:7" ht="12.75">
      <c r="A216" s="28">
        <v>840</v>
      </c>
      <c r="B216" s="29" t="s">
        <v>269</v>
      </c>
      <c r="C216" s="28">
        <v>971</v>
      </c>
      <c r="D216" s="303">
        <v>170</v>
      </c>
      <c r="E216" s="30">
        <v>0</v>
      </c>
      <c r="F216" s="28">
        <v>0</v>
      </c>
      <c r="G216" s="28">
        <v>155</v>
      </c>
    </row>
    <row r="217" spans="1:7" ht="12.75">
      <c r="A217" s="28">
        <v>842</v>
      </c>
      <c r="B217" s="29" t="s">
        <v>270</v>
      </c>
      <c r="C217" s="28">
        <v>1500</v>
      </c>
      <c r="D217" s="303">
        <v>101</v>
      </c>
      <c r="E217" s="30">
        <v>0</v>
      </c>
      <c r="F217" s="28">
        <v>0</v>
      </c>
      <c r="G217" s="28">
        <v>0</v>
      </c>
    </row>
    <row r="218" spans="1:7" ht="12.75">
      <c r="A218" s="28">
        <v>843</v>
      </c>
      <c r="B218" s="29" t="s">
        <v>271</v>
      </c>
      <c r="C218" s="28">
        <v>1250</v>
      </c>
      <c r="D218" s="303">
        <v>134</v>
      </c>
      <c r="E218" s="30">
        <v>0</v>
      </c>
      <c r="F218" s="28">
        <v>0</v>
      </c>
      <c r="G218" s="28">
        <v>0</v>
      </c>
    </row>
    <row r="219" spans="1:7" ht="12.75">
      <c r="A219" s="28">
        <v>844</v>
      </c>
      <c r="B219" s="29" t="s">
        <v>272</v>
      </c>
      <c r="C219" s="28">
        <v>1660</v>
      </c>
      <c r="D219" s="303">
        <v>80</v>
      </c>
      <c r="E219" s="30">
        <v>0</v>
      </c>
      <c r="F219" s="28">
        <v>0</v>
      </c>
      <c r="G219" s="28">
        <v>0</v>
      </c>
    </row>
    <row r="220" spans="1:7" ht="12.75">
      <c r="A220" s="28">
        <v>849</v>
      </c>
      <c r="B220" s="29" t="s">
        <v>273</v>
      </c>
      <c r="C220" s="28">
        <v>971</v>
      </c>
      <c r="D220" s="303">
        <v>170</v>
      </c>
      <c r="E220" s="30">
        <v>0</v>
      </c>
      <c r="F220" s="28">
        <v>0</v>
      </c>
      <c r="G220" s="28">
        <v>0</v>
      </c>
    </row>
    <row r="221" spans="1:7" ht="12.75">
      <c r="A221" s="28">
        <v>900</v>
      </c>
      <c r="B221" s="29" t="s">
        <v>274</v>
      </c>
      <c r="C221" s="28">
        <v>3146</v>
      </c>
      <c r="D221" s="303">
        <v>0</v>
      </c>
      <c r="E221" s="30">
        <v>0</v>
      </c>
      <c r="F221" s="28">
        <v>0</v>
      </c>
      <c r="G221" s="28">
        <v>0</v>
      </c>
    </row>
    <row r="222" spans="1:7" ht="12.75">
      <c r="A222" s="28">
        <v>901</v>
      </c>
      <c r="B222" s="29" t="s">
        <v>275</v>
      </c>
      <c r="C222" s="28">
        <v>2913</v>
      </c>
      <c r="D222" s="303">
        <v>0</v>
      </c>
      <c r="E222" s="30">
        <v>0</v>
      </c>
      <c r="F222" s="28">
        <v>0</v>
      </c>
      <c r="G222" s="28">
        <v>0</v>
      </c>
    </row>
    <row r="223" spans="1:7" ht="12.75">
      <c r="A223" s="28">
        <v>902</v>
      </c>
      <c r="B223" s="29" t="s">
        <v>276</v>
      </c>
      <c r="C223" s="28">
        <v>2913</v>
      </c>
      <c r="D223" s="303">
        <v>0</v>
      </c>
      <c r="E223" s="30">
        <v>20</v>
      </c>
      <c r="F223" s="28">
        <v>0</v>
      </c>
      <c r="G223" s="28">
        <v>0</v>
      </c>
    </row>
    <row r="224" spans="1:7" ht="12.75">
      <c r="A224" s="28">
        <v>903</v>
      </c>
      <c r="B224" s="29" t="s">
        <v>277</v>
      </c>
      <c r="C224" s="28">
        <v>2913</v>
      </c>
      <c r="D224" s="303">
        <v>0</v>
      </c>
      <c r="E224" s="30">
        <v>0</v>
      </c>
      <c r="F224" s="28">
        <v>0</v>
      </c>
      <c r="G224" s="28">
        <v>0</v>
      </c>
    </row>
    <row r="225" spans="1:7" ht="12.75">
      <c r="A225" s="28">
        <v>904</v>
      </c>
      <c r="B225" s="29" t="s">
        <v>278</v>
      </c>
      <c r="C225" s="28">
        <v>2100</v>
      </c>
      <c r="D225" s="303">
        <v>23</v>
      </c>
      <c r="E225" s="30">
        <v>0</v>
      </c>
      <c r="F225" s="28">
        <v>0</v>
      </c>
      <c r="G225" s="28">
        <v>0</v>
      </c>
    </row>
    <row r="226" spans="1:7" ht="12.75">
      <c r="A226" s="28">
        <v>905</v>
      </c>
      <c r="B226" s="29" t="s">
        <v>279</v>
      </c>
      <c r="C226" s="28">
        <v>1800</v>
      </c>
      <c r="D226" s="303">
        <v>62</v>
      </c>
      <c r="E226" s="30">
        <v>0</v>
      </c>
      <c r="F226" s="28">
        <v>0</v>
      </c>
      <c r="G226" s="28">
        <v>0</v>
      </c>
    </row>
    <row r="227" spans="1:7" ht="12.75">
      <c r="A227" s="28">
        <v>906</v>
      </c>
      <c r="B227" s="29" t="s">
        <v>280</v>
      </c>
      <c r="C227" s="28">
        <v>1942</v>
      </c>
      <c r="D227" s="303">
        <v>43</v>
      </c>
      <c r="E227" s="30">
        <v>0</v>
      </c>
      <c r="F227" s="28">
        <v>0</v>
      </c>
      <c r="G227" s="28">
        <v>0</v>
      </c>
    </row>
    <row r="228" spans="1:7" ht="12.75">
      <c r="A228" s="28">
        <v>907</v>
      </c>
      <c r="B228" s="29" t="s">
        <v>281</v>
      </c>
      <c r="C228" s="28">
        <v>1782</v>
      </c>
      <c r="D228" s="303">
        <v>64</v>
      </c>
      <c r="E228" s="30">
        <v>0</v>
      </c>
      <c r="F228" s="28">
        <v>0</v>
      </c>
      <c r="G228" s="28">
        <v>0</v>
      </c>
    </row>
    <row r="229" spans="1:7" ht="12.75">
      <c r="A229" s="28">
        <v>908</v>
      </c>
      <c r="B229" s="29" t="s">
        <v>282</v>
      </c>
      <c r="C229" s="28">
        <v>1692</v>
      </c>
      <c r="D229" s="303">
        <v>76</v>
      </c>
      <c r="E229" s="30">
        <v>0</v>
      </c>
      <c r="F229" s="28">
        <v>0</v>
      </c>
      <c r="G229" s="28">
        <v>0</v>
      </c>
    </row>
    <row r="230" spans="1:7" ht="12.75">
      <c r="A230" s="28">
        <v>909</v>
      </c>
      <c r="B230" s="29" t="s">
        <v>283</v>
      </c>
      <c r="C230" s="28">
        <v>1592</v>
      </c>
      <c r="D230" s="303">
        <v>89</v>
      </c>
      <c r="E230" s="30">
        <v>0</v>
      </c>
      <c r="F230" s="28">
        <v>0</v>
      </c>
      <c r="G230" s="28">
        <v>0</v>
      </c>
    </row>
    <row r="231" spans="1:7" ht="12.75">
      <c r="A231" s="28">
        <v>910</v>
      </c>
      <c r="B231" s="29" t="s">
        <v>167</v>
      </c>
      <c r="C231" s="28">
        <v>1942</v>
      </c>
      <c r="D231" s="303">
        <v>43</v>
      </c>
      <c r="E231" s="30">
        <v>150</v>
      </c>
      <c r="F231" s="28">
        <v>0</v>
      </c>
      <c r="G231" s="28">
        <v>0</v>
      </c>
    </row>
    <row r="232" spans="1:7" ht="12.75">
      <c r="A232" s="28">
        <v>911</v>
      </c>
      <c r="B232" s="29" t="s">
        <v>177</v>
      </c>
      <c r="C232" s="28">
        <v>1592</v>
      </c>
      <c r="D232" s="303">
        <v>89</v>
      </c>
      <c r="E232" s="30">
        <v>0</v>
      </c>
      <c r="F232" s="28">
        <v>0</v>
      </c>
      <c r="G232" s="28">
        <v>0</v>
      </c>
    </row>
    <row r="233" spans="1:7" ht="12.75">
      <c r="A233" s="28">
        <v>912</v>
      </c>
      <c r="B233" s="29" t="s">
        <v>284</v>
      </c>
      <c r="C233" s="28">
        <v>1782</v>
      </c>
      <c r="D233" s="303">
        <v>64</v>
      </c>
      <c r="E233" s="30">
        <v>17</v>
      </c>
      <c r="F233" s="28">
        <v>0</v>
      </c>
      <c r="G233" s="28">
        <v>0</v>
      </c>
    </row>
    <row r="234" spans="1:7" ht="12.75">
      <c r="A234" s="28">
        <v>913</v>
      </c>
      <c r="B234" s="29" t="s">
        <v>285</v>
      </c>
      <c r="C234" s="28">
        <v>1700</v>
      </c>
      <c r="D234" s="303">
        <v>75</v>
      </c>
      <c r="E234" s="30">
        <v>0</v>
      </c>
      <c r="F234" s="28">
        <v>0</v>
      </c>
      <c r="G234" s="28">
        <v>0</v>
      </c>
    </row>
    <row r="235" spans="1:7" ht="12.75">
      <c r="A235" s="28">
        <v>914</v>
      </c>
      <c r="B235" s="29" t="s">
        <v>286</v>
      </c>
      <c r="C235" s="28">
        <v>1600</v>
      </c>
      <c r="D235" s="303">
        <v>88</v>
      </c>
      <c r="E235" s="30">
        <v>0</v>
      </c>
      <c r="F235" s="28">
        <v>0</v>
      </c>
      <c r="G235" s="28">
        <v>0</v>
      </c>
    </row>
    <row r="236" spans="1:7" ht="12.75">
      <c r="A236" s="28">
        <v>915</v>
      </c>
      <c r="B236" s="29" t="s">
        <v>287</v>
      </c>
      <c r="C236" s="28">
        <v>1700</v>
      </c>
      <c r="D236" s="303">
        <v>75</v>
      </c>
      <c r="E236" s="30">
        <v>150</v>
      </c>
      <c r="F236" s="28">
        <v>0</v>
      </c>
      <c r="G236" s="28">
        <v>0</v>
      </c>
    </row>
    <row r="237" spans="1:7" ht="12.75">
      <c r="A237" s="28">
        <v>916</v>
      </c>
      <c r="B237" s="29" t="s">
        <v>288</v>
      </c>
      <c r="C237" s="28">
        <v>1300</v>
      </c>
      <c r="D237" s="303">
        <v>127</v>
      </c>
      <c r="E237" s="30">
        <v>0</v>
      </c>
      <c r="F237" s="28">
        <v>0</v>
      </c>
      <c r="G237" s="28">
        <v>0</v>
      </c>
    </row>
    <row r="238" spans="1:7" ht="12.75">
      <c r="A238" s="28">
        <v>917</v>
      </c>
      <c r="B238" s="29" t="s">
        <v>289</v>
      </c>
      <c r="C238" s="28">
        <v>971</v>
      </c>
      <c r="D238" s="303">
        <v>170</v>
      </c>
      <c r="E238" s="30">
        <v>0</v>
      </c>
      <c r="F238" s="28">
        <v>0</v>
      </c>
      <c r="G238" s="28">
        <v>0</v>
      </c>
    </row>
    <row r="239" spans="1:7" ht="12.75">
      <c r="A239" s="28">
        <v>918</v>
      </c>
      <c r="B239" s="29" t="s">
        <v>185</v>
      </c>
      <c r="C239" s="28">
        <v>971</v>
      </c>
      <c r="D239" s="303">
        <v>170</v>
      </c>
      <c r="E239" s="30">
        <v>150</v>
      </c>
      <c r="F239" s="28">
        <v>0</v>
      </c>
      <c r="G239" s="28">
        <v>0</v>
      </c>
    </row>
    <row r="240" spans="1:7" ht="12.75">
      <c r="A240" s="28">
        <v>919</v>
      </c>
      <c r="B240" s="29" t="s">
        <v>290</v>
      </c>
      <c r="C240" s="28">
        <v>971</v>
      </c>
      <c r="D240" s="303">
        <v>170</v>
      </c>
      <c r="E240" s="30">
        <v>17</v>
      </c>
      <c r="F240" s="28">
        <v>0</v>
      </c>
      <c r="G240" s="28">
        <v>0</v>
      </c>
    </row>
    <row r="241" spans="1:7" ht="12.75">
      <c r="A241" s="28">
        <v>920</v>
      </c>
      <c r="B241" s="29" t="s">
        <v>291</v>
      </c>
      <c r="C241" s="28">
        <v>971</v>
      </c>
      <c r="D241" s="303">
        <v>170</v>
      </c>
      <c r="E241" s="30">
        <v>150</v>
      </c>
      <c r="F241" s="28">
        <v>0</v>
      </c>
      <c r="G241" s="28">
        <v>0</v>
      </c>
    </row>
    <row r="242" spans="1:7" ht="12.75">
      <c r="A242" s="28">
        <v>921</v>
      </c>
      <c r="B242" s="29" t="s">
        <v>292</v>
      </c>
      <c r="C242" s="28">
        <v>971</v>
      </c>
      <c r="D242" s="303">
        <v>170</v>
      </c>
      <c r="E242" s="30">
        <v>0</v>
      </c>
      <c r="F242" s="28">
        <v>0</v>
      </c>
      <c r="G242" s="28">
        <v>0</v>
      </c>
    </row>
    <row r="243" spans="1:7" ht="12.75">
      <c r="A243" s="28">
        <v>922</v>
      </c>
      <c r="B243" s="29" t="s">
        <v>293</v>
      </c>
      <c r="C243" s="28">
        <v>971</v>
      </c>
      <c r="D243" s="303">
        <v>170</v>
      </c>
      <c r="E243" s="30">
        <v>0</v>
      </c>
      <c r="F243" s="28">
        <v>0</v>
      </c>
      <c r="G243" s="28">
        <v>0</v>
      </c>
    </row>
    <row r="244" spans="1:7" ht="12.75">
      <c r="A244" s="28">
        <v>923</v>
      </c>
      <c r="B244" s="29" t="s">
        <v>294</v>
      </c>
      <c r="C244" s="28">
        <v>971</v>
      </c>
      <c r="D244" s="303">
        <v>170</v>
      </c>
      <c r="E244" s="30">
        <v>0</v>
      </c>
      <c r="F244" s="28">
        <v>0</v>
      </c>
      <c r="G244" s="28">
        <v>0</v>
      </c>
    </row>
    <row r="245" spans="1:7" ht="12.75">
      <c r="A245" s="28">
        <v>924</v>
      </c>
      <c r="B245" s="29" t="s">
        <v>295</v>
      </c>
      <c r="C245" s="28">
        <v>971</v>
      </c>
      <c r="D245" s="303">
        <v>170</v>
      </c>
      <c r="E245" s="30">
        <v>150</v>
      </c>
      <c r="F245" s="28">
        <v>0</v>
      </c>
      <c r="G245" s="28">
        <v>0</v>
      </c>
    </row>
    <row r="246" spans="1:7" ht="12.75">
      <c r="A246" s="28">
        <v>925</v>
      </c>
      <c r="B246" s="29" t="s">
        <v>87</v>
      </c>
      <c r="C246" s="28">
        <v>971</v>
      </c>
      <c r="D246" s="303">
        <v>170</v>
      </c>
      <c r="E246" s="30">
        <v>0</v>
      </c>
      <c r="F246" s="28">
        <v>0</v>
      </c>
      <c r="G246" s="28">
        <v>0</v>
      </c>
    </row>
    <row r="247" spans="1:7" ht="12.75">
      <c r="A247" s="28">
        <v>926</v>
      </c>
      <c r="B247" s="29" t="s">
        <v>209</v>
      </c>
      <c r="C247" s="28">
        <v>1500</v>
      </c>
      <c r="D247" s="303">
        <v>101</v>
      </c>
      <c r="E247" s="30">
        <v>150</v>
      </c>
      <c r="F247" s="28">
        <v>0</v>
      </c>
      <c r="G247" s="28">
        <v>0</v>
      </c>
    </row>
    <row r="248" spans="1:7" ht="12.75">
      <c r="A248" s="28">
        <v>928</v>
      </c>
      <c r="B248" s="29" t="s">
        <v>180</v>
      </c>
      <c r="C248" s="28">
        <v>1500</v>
      </c>
      <c r="D248" s="303">
        <v>101</v>
      </c>
      <c r="E248" s="30">
        <v>150</v>
      </c>
      <c r="F248" s="28">
        <v>0</v>
      </c>
      <c r="G248" s="28">
        <v>0</v>
      </c>
    </row>
    <row r="249" spans="1:7" ht="12.75">
      <c r="A249" s="28">
        <v>929</v>
      </c>
      <c r="B249" s="29" t="s">
        <v>296</v>
      </c>
      <c r="C249" s="28">
        <v>971</v>
      </c>
      <c r="D249" s="303">
        <v>170</v>
      </c>
      <c r="E249" s="30">
        <v>150</v>
      </c>
      <c r="F249" s="28">
        <v>0</v>
      </c>
      <c r="G249" s="28">
        <v>0</v>
      </c>
    </row>
    <row r="250" spans="1:7" ht="12.75">
      <c r="A250" s="28">
        <v>930</v>
      </c>
      <c r="B250" s="29" t="s">
        <v>297</v>
      </c>
      <c r="C250" s="28">
        <v>1592</v>
      </c>
      <c r="D250" s="303">
        <v>89</v>
      </c>
      <c r="E250" s="30">
        <v>0</v>
      </c>
      <c r="F250" s="28">
        <v>0</v>
      </c>
      <c r="G250" s="28">
        <v>0</v>
      </c>
    </row>
    <row r="251" spans="1:7" ht="12.75">
      <c r="A251" s="28">
        <v>931</v>
      </c>
      <c r="B251" s="29" t="s">
        <v>298</v>
      </c>
      <c r="C251" s="28">
        <v>971</v>
      </c>
      <c r="D251" s="303">
        <v>170</v>
      </c>
      <c r="E251" s="30">
        <v>0</v>
      </c>
      <c r="F251" s="28">
        <v>0</v>
      </c>
      <c r="G251" s="28">
        <v>0</v>
      </c>
    </row>
    <row r="252" spans="1:7" ht="12.75">
      <c r="A252" s="28">
        <v>932</v>
      </c>
      <c r="B252" s="29" t="s">
        <v>299</v>
      </c>
      <c r="C252" s="28">
        <v>2220</v>
      </c>
      <c r="D252" s="303">
        <v>7</v>
      </c>
      <c r="E252" s="30">
        <v>0</v>
      </c>
      <c r="F252" s="28">
        <v>0</v>
      </c>
      <c r="G252" s="28">
        <v>0</v>
      </c>
    </row>
    <row r="253" spans="1:7" ht="12.75">
      <c r="A253" s="38">
        <v>933</v>
      </c>
      <c r="B253" s="39" t="s">
        <v>300</v>
      </c>
      <c r="C253" s="38">
        <v>1580</v>
      </c>
      <c r="D253" s="303">
        <v>90</v>
      </c>
      <c r="E253" s="40">
        <v>0</v>
      </c>
      <c r="F253" s="38">
        <v>0</v>
      </c>
      <c r="G253" s="38">
        <v>0</v>
      </c>
    </row>
    <row r="254" spans="1:7" ht="12.75">
      <c r="A254" s="28">
        <v>934</v>
      </c>
      <c r="B254" s="29" t="s">
        <v>301</v>
      </c>
      <c r="C254" s="28">
        <v>922</v>
      </c>
      <c r="D254" s="303">
        <v>176</v>
      </c>
      <c r="E254" s="30">
        <v>0</v>
      </c>
      <c r="F254" s="28">
        <v>0</v>
      </c>
      <c r="G254" s="28">
        <v>0</v>
      </c>
    </row>
    <row r="255" spans="1:7" ht="12.75">
      <c r="A255" s="28">
        <v>935</v>
      </c>
      <c r="B255" s="29" t="s">
        <v>302</v>
      </c>
      <c r="C255" s="28">
        <v>971</v>
      </c>
      <c r="D255" s="303">
        <v>170</v>
      </c>
      <c r="E255" s="30">
        <v>0</v>
      </c>
      <c r="F255" s="28">
        <v>0</v>
      </c>
      <c r="G255" s="28">
        <v>0</v>
      </c>
    </row>
    <row r="256" spans="1:7" ht="12.75">
      <c r="A256" s="28">
        <v>936</v>
      </c>
      <c r="B256" s="29" t="s">
        <v>303</v>
      </c>
      <c r="C256" s="28">
        <v>1250</v>
      </c>
      <c r="D256" s="303">
        <v>134</v>
      </c>
      <c r="E256" s="30">
        <v>0</v>
      </c>
      <c r="F256" s="28">
        <v>0</v>
      </c>
      <c r="G256" s="28">
        <v>0</v>
      </c>
    </row>
    <row r="257" spans="1:7" ht="12.75">
      <c r="A257" s="35">
        <v>937</v>
      </c>
      <c r="B257" s="36" t="s">
        <v>304</v>
      </c>
      <c r="C257" s="35">
        <v>971</v>
      </c>
      <c r="D257" s="303">
        <v>170</v>
      </c>
      <c r="E257" s="37">
        <v>0</v>
      </c>
      <c r="F257" s="35">
        <v>0</v>
      </c>
      <c r="G257" s="35">
        <v>0</v>
      </c>
    </row>
    <row r="258" spans="1:7" ht="12.75">
      <c r="A258" s="28">
        <v>940</v>
      </c>
      <c r="B258" s="29" t="s">
        <v>305</v>
      </c>
      <c r="C258" s="28">
        <v>1692</v>
      </c>
      <c r="D258" s="303">
        <v>76</v>
      </c>
      <c r="E258" s="30">
        <v>0</v>
      </c>
      <c r="F258" s="28">
        <v>0</v>
      </c>
      <c r="G258" s="28">
        <v>0</v>
      </c>
    </row>
    <row r="259" spans="1:7" ht="12.75">
      <c r="A259" s="28">
        <v>941</v>
      </c>
      <c r="B259" s="29" t="s">
        <v>306</v>
      </c>
      <c r="C259" s="28">
        <v>1942</v>
      </c>
      <c r="D259" s="303">
        <v>43</v>
      </c>
      <c r="E259" s="30">
        <v>0</v>
      </c>
      <c r="F259" s="28">
        <v>0</v>
      </c>
      <c r="G259" s="28">
        <v>0</v>
      </c>
    </row>
    <row r="260" spans="1:7" ht="12.75">
      <c r="A260" s="28">
        <v>942</v>
      </c>
      <c r="B260" s="29" t="s">
        <v>307</v>
      </c>
      <c r="C260" s="28">
        <v>1782</v>
      </c>
      <c r="D260" s="303">
        <v>64</v>
      </c>
      <c r="E260" s="30">
        <v>0</v>
      </c>
      <c r="F260" s="28">
        <v>0</v>
      </c>
      <c r="G260" s="28">
        <v>0</v>
      </c>
    </row>
    <row r="261" spans="1:7" ht="12.75">
      <c r="A261" s="28">
        <v>943</v>
      </c>
      <c r="B261" s="29" t="s">
        <v>208</v>
      </c>
      <c r="C261" s="28">
        <v>1500</v>
      </c>
      <c r="D261" s="303">
        <v>101</v>
      </c>
      <c r="E261" s="30">
        <v>150</v>
      </c>
      <c r="F261" s="28">
        <v>0</v>
      </c>
      <c r="G261" s="28">
        <v>0</v>
      </c>
    </row>
    <row r="262" spans="1:7" ht="12.75">
      <c r="A262" s="28">
        <v>944</v>
      </c>
      <c r="B262" s="29" t="s">
        <v>308</v>
      </c>
      <c r="C262" s="28">
        <v>1400</v>
      </c>
      <c r="D262" s="303">
        <v>114</v>
      </c>
      <c r="E262" s="30">
        <v>0</v>
      </c>
      <c r="F262" s="28">
        <v>0</v>
      </c>
      <c r="G262" s="28">
        <v>0</v>
      </c>
    </row>
    <row r="263" spans="1:7" ht="12.75">
      <c r="A263" s="28">
        <v>945</v>
      </c>
      <c r="B263" s="29" t="s">
        <v>309</v>
      </c>
      <c r="C263" s="28">
        <v>1782</v>
      </c>
      <c r="D263" s="303">
        <v>64</v>
      </c>
      <c r="E263" s="30">
        <v>0</v>
      </c>
      <c r="F263" s="28">
        <v>0</v>
      </c>
      <c r="G263" s="28">
        <v>669</v>
      </c>
    </row>
    <row r="264" spans="1:7" ht="12.75">
      <c r="A264" s="28">
        <v>946</v>
      </c>
      <c r="B264" s="29" t="s">
        <v>243</v>
      </c>
      <c r="C264" s="28">
        <v>971</v>
      </c>
      <c r="D264" s="303">
        <v>170</v>
      </c>
      <c r="E264" s="30">
        <v>0</v>
      </c>
      <c r="F264" s="28">
        <v>0</v>
      </c>
      <c r="G264" s="28">
        <v>620</v>
      </c>
    </row>
    <row r="265" spans="1:7" ht="12.75">
      <c r="A265" s="28">
        <v>947</v>
      </c>
      <c r="B265" s="29" t="s">
        <v>310</v>
      </c>
      <c r="C265" s="28">
        <v>971</v>
      </c>
      <c r="D265" s="303">
        <v>170</v>
      </c>
      <c r="E265" s="30">
        <v>0</v>
      </c>
      <c r="F265" s="28">
        <v>0</v>
      </c>
      <c r="G265" s="28">
        <v>155</v>
      </c>
    </row>
    <row r="266" spans="1:7" ht="12.75">
      <c r="A266" s="28">
        <v>951</v>
      </c>
      <c r="B266" s="29" t="s">
        <v>195</v>
      </c>
      <c r="C266" s="28">
        <v>1500</v>
      </c>
      <c r="D266" s="303">
        <v>101</v>
      </c>
      <c r="E266" s="30">
        <v>150</v>
      </c>
      <c r="F266" s="28">
        <v>0</v>
      </c>
      <c r="G266" s="28">
        <v>0</v>
      </c>
    </row>
    <row r="267" spans="1:7" ht="12.75">
      <c r="A267" s="28">
        <v>952</v>
      </c>
      <c r="B267" s="29" t="s">
        <v>311</v>
      </c>
      <c r="C267" s="28">
        <v>971</v>
      </c>
      <c r="D267" s="303">
        <v>170</v>
      </c>
      <c r="E267" s="30">
        <v>0</v>
      </c>
      <c r="F267" s="28">
        <v>0</v>
      </c>
      <c r="G267" s="28">
        <v>155</v>
      </c>
    </row>
    <row r="268" spans="1:7" ht="12.75">
      <c r="A268" s="28">
        <v>953</v>
      </c>
      <c r="B268" s="29" t="s">
        <v>312</v>
      </c>
      <c r="C268" s="28">
        <v>971</v>
      </c>
      <c r="D268" s="303">
        <v>170</v>
      </c>
      <c r="E268" s="30">
        <v>0</v>
      </c>
      <c r="F268" s="28">
        <v>0</v>
      </c>
      <c r="G268" s="28">
        <v>155</v>
      </c>
    </row>
    <row r="269" spans="1:7" ht="12.75">
      <c r="A269" s="28">
        <v>954</v>
      </c>
      <c r="B269" s="29" t="s">
        <v>313</v>
      </c>
      <c r="C269" s="28">
        <v>1600</v>
      </c>
      <c r="D269" s="303">
        <v>88</v>
      </c>
      <c r="E269" s="30">
        <v>0</v>
      </c>
      <c r="F269" s="28">
        <v>0</v>
      </c>
      <c r="G269" s="28">
        <v>657</v>
      </c>
    </row>
    <row r="270" spans="1:7" ht="12.75">
      <c r="A270" s="28">
        <v>955</v>
      </c>
      <c r="B270" s="29" t="s">
        <v>229</v>
      </c>
      <c r="C270" s="28">
        <v>971</v>
      </c>
      <c r="D270" s="303">
        <v>170</v>
      </c>
      <c r="E270" s="30">
        <v>0</v>
      </c>
      <c r="F270" s="28">
        <v>0</v>
      </c>
      <c r="G270" s="28">
        <v>0</v>
      </c>
    </row>
    <row r="271" spans="1:7" ht="12.75">
      <c r="A271" s="28">
        <v>956</v>
      </c>
      <c r="B271" s="29" t="s">
        <v>314</v>
      </c>
      <c r="C271" s="28">
        <v>1692</v>
      </c>
      <c r="D271" s="303">
        <v>76</v>
      </c>
      <c r="E271" s="30">
        <v>0</v>
      </c>
      <c r="F271" s="28">
        <v>0</v>
      </c>
      <c r="G271" s="28">
        <v>663</v>
      </c>
    </row>
    <row r="272" spans="1:7" ht="12.75">
      <c r="A272" s="28">
        <v>957</v>
      </c>
      <c r="B272" s="29" t="s">
        <v>315</v>
      </c>
      <c r="C272" s="28">
        <v>1700</v>
      </c>
      <c r="D272" s="303">
        <v>75</v>
      </c>
      <c r="E272" s="30">
        <v>0</v>
      </c>
      <c r="F272" s="28">
        <v>0</v>
      </c>
      <c r="G272" s="28">
        <v>0</v>
      </c>
    </row>
    <row r="273" spans="1:7" ht="12.75">
      <c r="A273" s="28">
        <v>958</v>
      </c>
      <c r="B273" s="29" t="s">
        <v>316</v>
      </c>
      <c r="C273" s="28">
        <v>2913</v>
      </c>
      <c r="D273" s="303">
        <v>0</v>
      </c>
      <c r="E273" s="30">
        <v>0</v>
      </c>
      <c r="F273" s="28">
        <v>0</v>
      </c>
      <c r="G273" s="28">
        <v>0</v>
      </c>
    </row>
    <row r="274" spans="1:7" ht="12.75">
      <c r="A274" s="28">
        <v>959</v>
      </c>
      <c r="B274" s="29" t="s">
        <v>317</v>
      </c>
      <c r="C274" s="28">
        <v>2220</v>
      </c>
      <c r="D274" s="303">
        <v>7</v>
      </c>
      <c r="E274" s="30">
        <v>0</v>
      </c>
      <c r="F274" s="28">
        <v>0</v>
      </c>
      <c r="G274" s="28">
        <v>0</v>
      </c>
    </row>
    <row r="275" spans="1:7" ht="12.75">
      <c r="A275" s="28">
        <v>960</v>
      </c>
      <c r="B275" s="29" t="s">
        <v>318</v>
      </c>
      <c r="C275" s="28">
        <v>1750</v>
      </c>
      <c r="D275" s="303">
        <v>68</v>
      </c>
      <c r="E275" s="30">
        <v>0</v>
      </c>
      <c r="F275" s="28">
        <v>0</v>
      </c>
      <c r="G275" s="28">
        <v>0</v>
      </c>
    </row>
    <row r="276" spans="1:7" ht="12.75">
      <c r="A276" s="28">
        <v>961</v>
      </c>
      <c r="B276" s="29" t="s">
        <v>319</v>
      </c>
      <c r="C276" s="28">
        <v>1580</v>
      </c>
      <c r="D276" s="303">
        <v>90</v>
      </c>
      <c r="E276" s="30">
        <v>0</v>
      </c>
      <c r="F276" s="28">
        <v>0</v>
      </c>
      <c r="G276" s="28">
        <v>0</v>
      </c>
    </row>
    <row r="277" spans="1:7" ht="12.75">
      <c r="A277" s="28">
        <v>962</v>
      </c>
      <c r="B277" s="29" t="s">
        <v>320</v>
      </c>
      <c r="C277" s="28">
        <v>1580</v>
      </c>
      <c r="D277" s="303">
        <v>90</v>
      </c>
      <c r="E277" s="30">
        <v>0</v>
      </c>
      <c r="F277" s="28">
        <v>0</v>
      </c>
      <c r="G277" s="28">
        <v>0</v>
      </c>
    </row>
    <row r="278" spans="1:7" ht="12.75">
      <c r="A278" s="28">
        <v>963</v>
      </c>
      <c r="B278" s="29" t="s">
        <v>321</v>
      </c>
      <c r="C278" s="28">
        <v>951</v>
      </c>
      <c r="D278" s="303">
        <v>173</v>
      </c>
      <c r="E278" s="30">
        <v>0</v>
      </c>
      <c r="F278" s="28">
        <v>0</v>
      </c>
      <c r="G278" s="28">
        <v>0</v>
      </c>
    </row>
    <row r="279" spans="1:7" ht="12.75">
      <c r="A279" s="28">
        <v>965</v>
      </c>
      <c r="B279" s="29" t="s">
        <v>322</v>
      </c>
      <c r="C279" s="28">
        <v>2913</v>
      </c>
      <c r="D279" s="303">
        <v>0</v>
      </c>
      <c r="E279" s="30">
        <v>0</v>
      </c>
      <c r="F279" s="28">
        <v>0</v>
      </c>
      <c r="G279" s="28">
        <v>0</v>
      </c>
    </row>
    <row r="280" spans="1:7" ht="12.75">
      <c r="A280" s="28">
        <v>966</v>
      </c>
      <c r="B280" s="29" t="s">
        <v>323</v>
      </c>
      <c r="C280" s="28">
        <v>1850</v>
      </c>
      <c r="D280" s="303">
        <v>55</v>
      </c>
      <c r="E280" s="30">
        <v>0</v>
      </c>
      <c r="F280" s="28">
        <v>0</v>
      </c>
      <c r="G280" s="28">
        <v>0</v>
      </c>
    </row>
    <row r="281" spans="1:7" ht="12.75">
      <c r="A281" s="28">
        <v>967</v>
      </c>
      <c r="B281" s="29" t="s">
        <v>324</v>
      </c>
      <c r="C281" s="28">
        <v>1564</v>
      </c>
      <c r="D281" s="303">
        <v>93</v>
      </c>
      <c r="E281" s="30">
        <v>0</v>
      </c>
      <c r="F281" s="28">
        <v>0</v>
      </c>
      <c r="G281" s="28">
        <v>0</v>
      </c>
    </row>
    <row r="282" spans="1:7" ht="12.75">
      <c r="A282" s="28">
        <v>968</v>
      </c>
      <c r="B282" s="29" t="s">
        <v>270</v>
      </c>
      <c r="C282" s="28">
        <v>1500</v>
      </c>
      <c r="D282" s="303">
        <v>101</v>
      </c>
      <c r="E282" s="30">
        <v>0</v>
      </c>
      <c r="F282" s="28">
        <v>0</v>
      </c>
      <c r="G282" s="28">
        <v>0</v>
      </c>
    </row>
    <row r="283" spans="1:7" ht="12.75">
      <c r="A283" s="28">
        <v>969</v>
      </c>
      <c r="B283" s="29" t="s">
        <v>325</v>
      </c>
      <c r="C283" s="28">
        <v>971</v>
      </c>
      <c r="D283" s="303">
        <v>170</v>
      </c>
      <c r="E283" s="30">
        <v>150</v>
      </c>
      <c r="F283" s="28">
        <v>0</v>
      </c>
      <c r="G283" s="28">
        <v>0</v>
      </c>
    </row>
    <row r="284" spans="1:7" ht="12.75">
      <c r="A284" s="28">
        <v>970</v>
      </c>
      <c r="B284" s="29" t="s">
        <v>326</v>
      </c>
      <c r="C284" s="28">
        <v>1480</v>
      </c>
      <c r="D284" s="303">
        <v>104</v>
      </c>
      <c r="E284" s="30">
        <v>0</v>
      </c>
      <c r="F284" s="28">
        <v>0</v>
      </c>
      <c r="G284" s="28">
        <v>0</v>
      </c>
    </row>
    <row r="285" spans="1:7" ht="12.75">
      <c r="A285" s="28">
        <v>971</v>
      </c>
      <c r="B285" s="29" t="s">
        <v>327</v>
      </c>
      <c r="C285" s="28">
        <v>1400</v>
      </c>
      <c r="D285" s="303">
        <v>114</v>
      </c>
      <c r="E285" s="30">
        <v>150</v>
      </c>
      <c r="F285" s="28">
        <v>0</v>
      </c>
      <c r="G285" s="28">
        <v>0</v>
      </c>
    </row>
    <row r="286" spans="1:7" ht="12.75">
      <c r="A286" s="28">
        <v>972</v>
      </c>
      <c r="B286" s="29" t="s">
        <v>328</v>
      </c>
      <c r="C286" s="28">
        <v>1692</v>
      </c>
      <c r="D286" s="303">
        <v>76</v>
      </c>
      <c r="E286" s="30">
        <v>17</v>
      </c>
      <c r="F286" s="28">
        <v>0</v>
      </c>
      <c r="G286" s="28">
        <v>0</v>
      </c>
    </row>
    <row r="287" spans="1:7" ht="12.75">
      <c r="A287" s="28">
        <v>973</v>
      </c>
      <c r="B287" s="29" t="s">
        <v>329</v>
      </c>
      <c r="C287" s="28">
        <v>1592</v>
      </c>
      <c r="D287" s="303">
        <v>89</v>
      </c>
      <c r="E287" s="30">
        <v>17</v>
      </c>
      <c r="F287" s="28">
        <v>0</v>
      </c>
      <c r="G287" s="28">
        <v>0</v>
      </c>
    </row>
    <row r="288" spans="1:7" ht="12.75">
      <c r="A288" s="28">
        <v>974</v>
      </c>
      <c r="B288" s="29" t="s">
        <v>330</v>
      </c>
      <c r="C288" s="28">
        <v>1500</v>
      </c>
      <c r="D288" s="303">
        <v>101</v>
      </c>
      <c r="E288" s="30">
        <v>150</v>
      </c>
      <c r="F288" s="28">
        <v>0</v>
      </c>
      <c r="G288" s="28">
        <v>0</v>
      </c>
    </row>
    <row r="289" spans="1:7" ht="12.75">
      <c r="A289" s="28">
        <v>975</v>
      </c>
      <c r="B289" s="29" t="s">
        <v>331</v>
      </c>
      <c r="C289" s="28">
        <v>971</v>
      </c>
      <c r="D289" s="303">
        <v>170</v>
      </c>
      <c r="E289" s="30">
        <v>0</v>
      </c>
      <c r="F289" s="28">
        <v>0</v>
      </c>
      <c r="G289" s="28">
        <v>0</v>
      </c>
    </row>
    <row r="290" spans="1:7" ht="12.75">
      <c r="A290" s="28">
        <v>976</v>
      </c>
      <c r="B290" s="29" t="s">
        <v>332</v>
      </c>
      <c r="C290" s="28">
        <v>971</v>
      </c>
      <c r="D290" s="303">
        <v>170</v>
      </c>
      <c r="E290" s="30">
        <v>0</v>
      </c>
      <c r="F290" s="28">
        <v>0</v>
      </c>
      <c r="G290" s="28">
        <v>0</v>
      </c>
    </row>
    <row r="291" spans="1:7" ht="12.75">
      <c r="A291" s="28">
        <v>977</v>
      </c>
      <c r="B291" s="29" t="s">
        <v>333</v>
      </c>
      <c r="C291" s="28">
        <v>971</v>
      </c>
      <c r="D291" s="303">
        <v>170</v>
      </c>
      <c r="E291" s="30">
        <v>0</v>
      </c>
      <c r="F291" s="28">
        <v>0</v>
      </c>
      <c r="G291" s="28">
        <v>0</v>
      </c>
    </row>
    <row r="292" spans="1:7" ht="12.75">
      <c r="A292" s="28">
        <v>978</v>
      </c>
      <c r="B292" s="29" t="s">
        <v>334</v>
      </c>
      <c r="C292" s="28">
        <v>1840</v>
      </c>
      <c r="D292" s="303">
        <v>57</v>
      </c>
      <c r="E292" s="30">
        <v>0</v>
      </c>
      <c r="F292" s="28">
        <v>0</v>
      </c>
      <c r="G292" s="28">
        <v>0</v>
      </c>
    </row>
    <row r="293" spans="1:7" ht="12.75">
      <c r="A293" s="28">
        <v>979</v>
      </c>
      <c r="B293" s="29" t="s">
        <v>335</v>
      </c>
      <c r="C293" s="28">
        <v>1740</v>
      </c>
      <c r="D293" s="303">
        <v>70</v>
      </c>
      <c r="E293" s="30">
        <v>0</v>
      </c>
      <c r="F293" s="28">
        <v>0</v>
      </c>
      <c r="G293" s="28">
        <v>0</v>
      </c>
    </row>
    <row r="294" spans="1:7" ht="12.75">
      <c r="A294" s="28">
        <v>980</v>
      </c>
      <c r="B294" s="29" t="s">
        <v>336</v>
      </c>
      <c r="C294" s="28">
        <v>574</v>
      </c>
      <c r="D294" s="303">
        <v>222</v>
      </c>
      <c r="E294" s="30">
        <v>0</v>
      </c>
      <c r="F294" s="28">
        <v>0</v>
      </c>
      <c r="G294" s="28">
        <v>0</v>
      </c>
    </row>
    <row r="295" spans="1:7" ht="12.75">
      <c r="A295" s="28">
        <v>981</v>
      </c>
      <c r="B295" s="29" t="s">
        <v>337</v>
      </c>
      <c r="C295" s="28">
        <v>1782</v>
      </c>
      <c r="D295" s="303">
        <v>64</v>
      </c>
      <c r="E295" s="30">
        <v>0</v>
      </c>
      <c r="F295" s="28">
        <v>0</v>
      </c>
      <c r="G295" s="28">
        <v>0</v>
      </c>
    </row>
    <row r="296" spans="1:7" ht="12.75">
      <c r="A296" s="28">
        <v>982</v>
      </c>
      <c r="B296" s="29" t="s">
        <v>338</v>
      </c>
      <c r="C296" s="28">
        <v>1740</v>
      </c>
      <c r="D296" s="303">
        <v>70</v>
      </c>
      <c r="E296" s="30">
        <v>0</v>
      </c>
      <c r="F296" s="28">
        <v>0</v>
      </c>
      <c r="G296" s="28">
        <v>0</v>
      </c>
    </row>
    <row r="297" spans="1:7" ht="12.75">
      <c r="A297" s="28">
        <v>983</v>
      </c>
      <c r="B297" s="29" t="s">
        <v>339</v>
      </c>
      <c r="C297" s="28">
        <v>1170</v>
      </c>
      <c r="D297" s="303">
        <v>144</v>
      </c>
      <c r="E297" s="30">
        <v>0</v>
      </c>
      <c r="F297" s="28">
        <v>0</v>
      </c>
      <c r="G297" s="28">
        <v>0</v>
      </c>
    </row>
    <row r="298" spans="1:7" ht="12.75">
      <c r="A298" s="28">
        <v>984</v>
      </c>
      <c r="B298" s="29" t="s">
        <v>340</v>
      </c>
      <c r="C298" s="28">
        <v>690</v>
      </c>
      <c r="D298" s="303">
        <v>207</v>
      </c>
      <c r="E298" s="30">
        <v>0</v>
      </c>
      <c r="F298" s="28">
        <v>0</v>
      </c>
      <c r="G298" s="28">
        <v>0</v>
      </c>
    </row>
    <row r="299" spans="1:7" ht="12.75">
      <c r="A299" s="28">
        <v>985</v>
      </c>
      <c r="B299" s="29" t="s">
        <v>341</v>
      </c>
      <c r="C299" s="28">
        <v>2913</v>
      </c>
      <c r="D299" s="303">
        <v>0</v>
      </c>
      <c r="E299" s="30">
        <v>0</v>
      </c>
      <c r="F299" s="28">
        <v>0</v>
      </c>
      <c r="G299" s="28">
        <v>0</v>
      </c>
    </row>
    <row r="300" spans="1:7" ht="12.75">
      <c r="A300" s="28">
        <v>986</v>
      </c>
      <c r="B300" s="29" t="s">
        <v>342</v>
      </c>
      <c r="C300" s="28">
        <v>644</v>
      </c>
      <c r="D300" s="303">
        <v>213</v>
      </c>
      <c r="E300" s="30">
        <v>0</v>
      </c>
      <c r="F300" s="28">
        <v>0</v>
      </c>
      <c r="G300" s="28">
        <v>0</v>
      </c>
    </row>
    <row r="301" spans="1:7" ht="12.75">
      <c r="A301" s="28">
        <v>987</v>
      </c>
      <c r="B301" s="29" t="s">
        <v>184</v>
      </c>
      <c r="C301" s="28">
        <v>1170</v>
      </c>
      <c r="D301" s="303">
        <v>144</v>
      </c>
      <c r="E301" s="30">
        <v>0</v>
      </c>
      <c r="F301" s="28">
        <v>0</v>
      </c>
      <c r="G301" s="28">
        <v>0</v>
      </c>
    </row>
    <row r="302" spans="1:7" ht="12.75">
      <c r="A302" s="28">
        <v>988</v>
      </c>
      <c r="B302" s="29" t="s">
        <v>343</v>
      </c>
      <c r="C302" s="28">
        <v>2600</v>
      </c>
      <c r="D302" s="303">
        <v>0</v>
      </c>
      <c r="E302" s="30">
        <v>0</v>
      </c>
      <c r="F302" s="28">
        <v>0</v>
      </c>
      <c r="G302" s="28">
        <v>0</v>
      </c>
    </row>
    <row r="303" spans="1:7" ht="12.75">
      <c r="A303" s="28">
        <v>989</v>
      </c>
      <c r="B303" s="29" t="s">
        <v>344</v>
      </c>
      <c r="C303" s="28">
        <v>2840</v>
      </c>
      <c r="D303" s="303">
        <v>0</v>
      </c>
      <c r="E303" s="30">
        <v>0</v>
      </c>
      <c r="F303" s="28">
        <v>0</v>
      </c>
      <c r="G303" s="28">
        <v>0</v>
      </c>
    </row>
    <row r="304" spans="1:7" ht="12.75">
      <c r="A304" s="28">
        <v>990</v>
      </c>
      <c r="B304" s="29" t="s">
        <v>345</v>
      </c>
      <c r="C304" s="28">
        <v>2100</v>
      </c>
      <c r="D304" s="303">
        <v>23</v>
      </c>
      <c r="E304" s="30">
        <v>0</v>
      </c>
      <c r="F304" s="28">
        <v>0</v>
      </c>
      <c r="G304" s="28">
        <v>0</v>
      </c>
    </row>
    <row r="305" spans="1:7" ht="12.75">
      <c r="A305" s="28">
        <v>991</v>
      </c>
      <c r="B305" s="29" t="s">
        <v>346</v>
      </c>
      <c r="C305" s="28">
        <v>1850</v>
      </c>
      <c r="D305" s="303">
        <v>55</v>
      </c>
      <c r="E305" s="30">
        <v>0</v>
      </c>
      <c r="F305" s="28">
        <v>0</v>
      </c>
      <c r="G305" s="28">
        <v>0</v>
      </c>
    </row>
    <row r="306" spans="1:7" ht="12.75">
      <c r="A306" s="28">
        <v>992</v>
      </c>
      <c r="B306" s="29" t="s">
        <v>347</v>
      </c>
      <c r="C306" s="28">
        <v>2840</v>
      </c>
      <c r="D306" s="303">
        <v>0</v>
      </c>
      <c r="E306" s="30">
        <v>0</v>
      </c>
      <c r="F306" s="28">
        <v>0</v>
      </c>
      <c r="G306" s="28">
        <v>0</v>
      </c>
    </row>
    <row r="307" spans="1:7" ht="12.75">
      <c r="A307" s="28">
        <v>993</v>
      </c>
      <c r="B307" s="29" t="s">
        <v>348</v>
      </c>
      <c r="C307" s="28">
        <v>2913</v>
      </c>
      <c r="D307" s="303">
        <v>0</v>
      </c>
      <c r="E307" s="30">
        <v>0</v>
      </c>
      <c r="F307" s="28">
        <v>0</v>
      </c>
      <c r="G307" s="28">
        <v>0</v>
      </c>
    </row>
    <row r="308" spans="1:7" ht="12.75">
      <c r="A308" s="28">
        <v>994</v>
      </c>
      <c r="B308" s="29" t="s">
        <v>349</v>
      </c>
      <c r="C308" s="28">
        <v>1580</v>
      </c>
      <c r="D308" s="303">
        <v>90</v>
      </c>
      <c r="E308" s="30">
        <v>0</v>
      </c>
      <c r="F308" s="28">
        <v>0</v>
      </c>
      <c r="G308" s="28">
        <v>0</v>
      </c>
    </row>
    <row r="309" spans="1:7" ht="12.75">
      <c r="A309" s="28">
        <v>995</v>
      </c>
      <c r="B309" s="29" t="s">
        <v>350</v>
      </c>
      <c r="C309" s="28">
        <v>1564</v>
      </c>
      <c r="D309" s="303">
        <v>93</v>
      </c>
      <c r="E309" s="30">
        <v>0</v>
      </c>
      <c r="F309" s="28">
        <v>0</v>
      </c>
      <c r="G309" s="28">
        <v>0</v>
      </c>
    </row>
    <row r="310" spans="1:7" ht="12.75">
      <c r="A310" s="28">
        <v>996</v>
      </c>
      <c r="B310" s="29" t="s">
        <v>87</v>
      </c>
      <c r="C310" s="28">
        <v>1480</v>
      </c>
      <c r="D310" s="303">
        <v>104</v>
      </c>
      <c r="E310" s="30">
        <v>0</v>
      </c>
      <c r="F310" s="28">
        <v>0</v>
      </c>
      <c r="G310" s="28">
        <v>0</v>
      </c>
    </row>
    <row r="311" spans="1:7" ht="12.75">
      <c r="A311" s="28">
        <v>997</v>
      </c>
      <c r="B311" s="29" t="s">
        <v>351</v>
      </c>
      <c r="C311" s="28">
        <v>1564</v>
      </c>
      <c r="D311" s="303">
        <v>93</v>
      </c>
      <c r="E311" s="30">
        <v>0</v>
      </c>
      <c r="F311" s="28">
        <v>0</v>
      </c>
      <c r="G311" s="28">
        <v>0</v>
      </c>
    </row>
    <row r="312" spans="1:7" ht="12.75">
      <c r="A312" s="28">
        <v>998</v>
      </c>
      <c r="B312" s="29" t="s">
        <v>352</v>
      </c>
      <c r="C312" s="28">
        <v>2220</v>
      </c>
      <c r="D312" s="303">
        <v>7</v>
      </c>
      <c r="E312" s="30">
        <v>0</v>
      </c>
      <c r="F312" s="28">
        <v>0</v>
      </c>
      <c r="G312" s="28">
        <v>0</v>
      </c>
    </row>
    <row r="313" spans="1:7" ht="12.75">
      <c r="A313" s="28">
        <v>999</v>
      </c>
      <c r="B313" s="29" t="s">
        <v>353</v>
      </c>
      <c r="C313" s="28">
        <v>3146</v>
      </c>
      <c r="D313" s="303">
        <v>0</v>
      </c>
      <c r="E313" s="30">
        <v>0</v>
      </c>
      <c r="F313" s="28">
        <v>0</v>
      </c>
      <c r="G313" s="28">
        <v>0</v>
      </c>
    </row>
    <row r="314" spans="1:7" ht="13.5" thickBot="1">
      <c r="A314" s="28">
        <v>666</v>
      </c>
      <c r="B314" s="29" t="s">
        <v>354</v>
      </c>
      <c r="C314" s="28" t="s">
        <v>355</v>
      </c>
      <c r="D314" s="303">
        <v>0</v>
      </c>
      <c r="E314" s="41">
        <v>0</v>
      </c>
      <c r="F314" s="42">
        <v>0</v>
      </c>
      <c r="G314" s="42">
        <v>0</v>
      </c>
    </row>
  </sheetData>
  <sheetProtection password="C9B5" sheet="1" objects="1" scenarios="1"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Mailen</dc:creator>
  <cp:keywords/>
  <dc:description/>
  <cp:lastModifiedBy>victor</cp:lastModifiedBy>
  <dcterms:created xsi:type="dcterms:W3CDTF">2006-03-31T13:19:38Z</dcterms:created>
  <dcterms:modified xsi:type="dcterms:W3CDTF">2008-03-09T01:51:29Z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