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95" windowWidth="12000" windowHeight="6120" activeTab="0"/>
  </bookViews>
  <sheets>
    <sheet name="Haberes jubilados" sheetId="1" r:id="rId1"/>
    <sheet name="para varios cargos" sheetId="2" r:id="rId2"/>
    <sheet name="Cargos" sheetId="3" r:id="rId3"/>
  </sheets>
  <externalReferences>
    <externalReference r:id="rId6"/>
  </externalReferences>
  <definedNames>
    <definedName name="cargosascenso">'Haberes jubilados'!#REF!</definedName>
    <definedName name="cargosingreso">'Haberes jubilados'!$C$101</definedName>
    <definedName name="cargosproljor">'Haberes jubilados'!#REF!</definedName>
    <definedName name="cod022feb07">'Haberes jubilados'!$Z$63</definedName>
    <definedName name="cod06ago07">'Haberes jubilados'!$AB$61</definedName>
    <definedName name="cod06cargo120">'Haberes jubilados'!$F$57</definedName>
    <definedName name="cod06feb07">'Haberes jubilados'!$Z$61</definedName>
    <definedName name="cod06feb07varios1">'para varios cargos'!$R$10</definedName>
    <definedName name="cod06feb07varios2">'para varios cargos'!$R$78</definedName>
    <definedName name="cod06feb07varios3">'para varios cargos'!$R$146</definedName>
    <definedName name="cod06feb07varios4">'para varios cargos'!$R$214</definedName>
    <definedName name="cod06horas">'Haberes jubilados'!$F$59</definedName>
    <definedName name="cod06med">'[1]Prop 24 feb 06'!$D$71</definedName>
    <definedName name="cod06medago07">'Haberes jubilados'!$AB$71</definedName>
    <definedName name="cod06medfeb07">'Haberes jubilados'!$Z$71</definedName>
    <definedName name="cod06sup">'[1]Prop 24 feb 06'!$D$77</definedName>
    <definedName name="cod06supago07">'Haberes jubilados'!$AB$77</definedName>
    <definedName name="cod06supfeb07">'Haberes jubilados'!$Z$77</definedName>
    <definedName name="cod17feb07">'Haberes jubilados'!$Z$59</definedName>
    <definedName name="cod17medfeb07">'Haberes jubilados'!$Z$72</definedName>
    <definedName name="cod17supfeb07">'Haberes jubilados'!$Z$78</definedName>
    <definedName name="cod22medfeb07">'Haberes jubilados'!$Z$70</definedName>
    <definedName name="cod22supfeb07">'Haberes jubilados'!$Z$76</definedName>
    <definedName name="cod38feb07">'Haberes jubilados'!$Z$60</definedName>
    <definedName name="cod38med">'Haberes jubilados'!$F$60</definedName>
    <definedName name="cod38medfeb07">'Haberes jubilados'!$Z$69</definedName>
    <definedName name="cod38sup">'Haberes jubilados'!$F$61</definedName>
    <definedName name="cod38supfeb07">'Haberes jubilados'!$Z$75</definedName>
    <definedName name="frac">'Haberes jubilados'!$F$107</definedName>
    <definedName name="frac1">'para varios cargos'!$I$31</definedName>
    <definedName name="frac2">'para varios cargos'!$I$99</definedName>
    <definedName name="frac3">'para varios cargos'!$I$167</definedName>
    <definedName name="frac4">'para varios cargos'!$I$235</definedName>
    <definedName name="horasmedia">'Haberes jubilados'!$C$147</definedName>
    <definedName name="horassuperior">'Haberes jubilados'!$C$180</definedName>
    <definedName name="indiceago07">'Haberes jubilados'!$AB$56</definedName>
    <definedName name="indicefeb07">'Haberes jubilados'!$Z$56</definedName>
    <definedName name="indiceproljor">'Haberes jubilados'!$F$58</definedName>
    <definedName name="instructivo">'Haberes jubilados'!$A$16</definedName>
    <definedName name="jorcomcargo">'Cargos'!$G$3:$G$314</definedName>
    <definedName name="nombrecargo">'Cargos'!$B$3:$B$314</definedName>
    <definedName name="nuevocod038">'Haberes jubilados'!$H$56</definedName>
    <definedName name="nuevocod06cargo">'Haberes jubilados'!$H$57</definedName>
    <definedName name="nuevocod06cargovarios">'para varios cargos'!$E$19</definedName>
    <definedName name="nuevocod06horas">'Haberes jubilados'!$H$59</definedName>
    <definedName name="nuevocod06med">'[1]Prop 24 feb 06'!$G$71</definedName>
    <definedName name="nuevocod06sup">'[1]Prop 24 feb 06'!$G$77</definedName>
    <definedName name="nuevocod38">'[1]Prop 24 feb 06'!$G$61</definedName>
    <definedName name="nuevocod38med">'Haberes jubilados'!$H$60</definedName>
    <definedName name="nuevocod38sup">'Haberes jubilados'!$H$61</definedName>
    <definedName name="nuevoindproljor">'Haberes jubilados'!$H$58</definedName>
    <definedName name="nuevoproljornada">'[1]Prop 24 feb 06'!$G$63</definedName>
    <definedName name="nuevopuntoindice">'Haberes jubilados'!$H$55</definedName>
    <definedName name="nuevopuntoíndice">'[1]Prop 24 feb 06'!$G$57</definedName>
    <definedName name="numerocargo">'Cargos'!$A$3:$A$314</definedName>
    <definedName name="proljorago07">'Haberes jubilados'!$AB$62</definedName>
    <definedName name="proljorcargo">'Cargos'!$F$3:$F$314</definedName>
    <definedName name="proljorfeb07">'Haberes jubilados'!$Z$62</definedName>
    <definedName name="punbasjub">'Haberes jubilados'!$E$117</definedName>
    <definedName name="punbasjubvarios1">'para varios cargos'!$F$41</definedName>
    <definedName name="punbasjubvarios2">'para varios cargos'!$F$109</definedName>
    <definedName name="punbasjubvarios3">'para varios cargos'!$F$177</definedName>
    <definedName name="punbasjubvarios4">'para varios cargos'!$F$245</definedName>
    <definedName name="punproljor">'Haberes jubilados'!$H$149</definedName>
    <definedName name="punto_índice">'[1]Prop 24 feb 06'!$D$57</definedName>
    <definedName name="puntoindice">'Haberes jubilados'!$F$55</definedName>
    <definedName name="PUNTOSbasicos">'Haberes jubilados'!$B$135</definedName>
    <definedName name="puntosbasicoscargo">'Cargos'!$C$3:$C$314</definedName>
    <definedName name="puntosproljor">'Haberes jubilados'!$H$117</definedName>
    <definedName name="puntosproljorvarios1">'para varios cargos'!$I$41</definedName>
    <definedName name="puntosproljorvarios2">'para varios cargos'!$I$109</definedName>
    <definedName name="puntosproljorvarios3">'para varios cargos'!$I$177</definedName>
    <definedName name="puntosproljorvarios4">'para varios cargos'!$I$245</definedName>
    <definedName name="salminimofeb07">'Haberes jubilados'!$Z$64</definedName>
    <definedName name="salminjorcom">'Haberes jubilados'!$Y$75</definedName>
    <definedName name="tardifcargo">'Cargos'!$E$3:$E$314</definedName>
    <definedName name="valor_cod_038">'[1]Prop 24 feb 06'!$D$61</definedName>
    <definedName name="valor_prol_jor">'[1]Prop 24 feb 06'!$D$63</definedName>
    <definedName name="valorcod038">'Haberes jubilados'!$F$56</definedName>
  </definedNames>
  <calcPr fullCalcOnLoad="1"/>
</workbook>
</file>

<file path=xl/comments1.xml><?xml version="1.0" encoding="utf-8"?>
<comments xmlns="http://schemas.openxmlformats.org/spreadsheetml/2006/main">
  <authors>
    <author>V?ctor</author>
  </authors>
  <commentList>
    <comment ref="A104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no saben el número del cargo, lo pueden buscar en la hoja cargos, cuya pestaña aparece en parte inferior izquierda de la pantalla.</t>
        </r>
      </text>
    </comment>
    <comment ref="C109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Completar con el porcentaje de zona que corresponda.</t>
        </r>
      </text>
    </comment>
    <comment ref="E107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trabajaron en el mismo cargo en los últimos 10 años, dejar el 120. De lo contraro fraccionar con la cantidad de meses.</t>
        </r>
      </text>
    </comment>
    <comment ref="E115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Para la mayoría de los casos corresponde 120 % de antigüedad, pero he encontrado otros valores en algunos recibos.</t>
        </r>
      </text>
    </comment>
  </commentList>
</comments>
</file>

<file path=xl/comments2.xml><?xml version="1.0" encoding="utf-8"?>
<comments xmlns="http://schemas.openxmlformats.org/spreadsheetml/2006/main">
  <authors>
    <author>V?ctor</author>
  </authors>
  <commentList>
    <comment ref="D28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no saben el número del cargo, lo pueden buscar en la hoja cargos, cuya pestaña aparece en parte inferior izquierda de la pantalla.</t>
        </r>
      </text>
    </comment>
    <comment ref="H31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trabajaron en el mismo cargo en los últimos 10 años, dejar el 120. De lo contraro fraccionar con la cantidad de meses.</t>
        </r>
      </text>
    </comment>
    <comment ref="E33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Completar con el porcentaje de zona que corresponda.</t>
        </r>
      </text>
    </comment>
    <comment ref="F39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Para la mayoría de los casos corresponde 120 % de antigüedad, pero he encontrado otros valores en algunos recibos.</t>
        </r>
      </text>
    </comment>
    <comment ref="D96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no saben el número del cargo, lo pueden buscar en la hoja cargos, cuya pestaña aparece en parte inferior izquierda de la pantalla.</t>
        </r>
      </text>
    </comment>
    <comment ref="H99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trabajaron en el mismo cargo en los últimos 10 años, dejar el 120. De lo contraro fraccionar con la cantidad de meses.</t>
        </r>
      </text>
    </comment>
    <comment ref="E101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Completar con el porcentaje de zona que corresponda.</t>
        </r>
      </text>
    </comment>
    <comment ref="F107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Para la mayoría de los casos corresponde 120 % de antigüedad, pero he encontrado otros valores en algunos recibos.</t>
        </r>
      </text>
    </comment>
    <comment ref="D164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no saben el número del cargo, lo pueden buscar en la hoja cargos, cuya pestaña aparece en parte inferior izquierda de la pantalla.</t>
        </r>
      </text>
    </comment>
    <comment ref="H167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trabajaron en el mismo cargo en los últimos 10 años, dejar el 120. De lo contraro fraccionar con la cantidad de meses.</t>
        </r>
      </text>
    </comment>
    <comment ref="E169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Completar con el porcentaje de zona que corresponda.</t>
        </r>
      </text>
    </comment>
    <comment ref="F175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Para la mayoría de los casos corresponde 120 % de antigüedad, pero he encontrado otros valores en algunos recibos.</t>
        </r>
      </text>
    </comment>
    <comment ref="D232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no saben el número del cargo, lo pueden buscar en la hoja cargos, cuya pestaña aparece en parte inferior izquierda de la pantalla.</t>
        </r>
      </text>
    </comment>
    <comment ref="H235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Si trabajaron en el mismo cargo en los últimos 10 años, dejar el 120. De lo contraro fraccionar con la cantidad de meses.</t>
        </r>
      </text>
    </comment>
    <comment ref="E237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Completar con el porcentaje de zona que corresponda.</t>
        </r>
      </text>
    </comment>
    <comment ref="F243" authorId="0">
      <text>
        <r>
          <rPr>
            <b/>
            <sz val="8"/>
            <rFont val="Tahoma"/>
            <family val="0"/>
          </rPr>
          <t>Víctor:</t>
        </r>
        <r>
          <rPr>
            <sz val="8"/>
            <rFont val="Tahoma"/>
            <family val="0"/>
          </rPr>
          <t xml:space="preserve">
Para la mayoría de los casos corresponde 120 % de antigüedad, pero he encontrado otros valores en algunos recibos.</t>
        </r>
      </text>
    </comment>
  </commentList>
</comments>
</file>

<file path=xl/sharedStrings.xml><?xml version="1.0" encoding="utf-8"?>
<sst xmlns="http://schemas.openxmlformats.org/spreadsheetml/2006/main" count="833" uniqueCount="470">
  <si>
    <t>MENU</t>
  </si>
  <si>
    <t>instructivo</t>
  </si>
  <si>
    <t>horas nivel medio</t>
  </si>
  <si>
    <t>horas nivel superior</t>
  </si>
  <si>
    <t>Instructivo</t>
  </si>
  <si>
    <t>Leer</t>
  </si>
  <si>
    <r>
      <t xml:space="preserve">Se deben completar los datos en </t>
    </r>
    <r>
      <rPr>
        <b/>
        <sz val="11"/>
        <color indexed="10"/>
        <rFont val="Arial"/>
        <family val="2"/>
      </rPr>
      <t>rojo</t>
    </r>
    <r>
      <rPr>
        <sz val="11"/>
        <rFont val="Arial"/>
        <family val="2"/>
      </rPr>
      <t xml:space="preserve"> y es posible que los </t>
    </r>
    <r>
      <rPr>
        <b/>
        <sz val="11"/>
        <color indexed="53"/>
        <rFont val="Arial"/>
        <family val="2"/>
      </rPr>
      <t>naranjas,</t>
    </r>
    <r>
      <rPr>
        <sz val="11"/>
        <rFont val="Arial"/>
        <family val="2"/>
      </rPr>
      <t xml:space="preserve"> lo demás se calcula todo solo.</t>
    </r>
  </si>
  <si>
    <r>
      <t xml:space="preserve">No tocar los demás valores porque se descontrola, en ese caso </t>
    </r>
    <r>
      <rPr>
        <b/>
        <sz val="11"/>
        <rFont val="Arial"/>
        <family val="2"/>
      </rPr>
      <t>deshacer cambios</t>
    </r>
    <r>
      <rPr>
        <sz val="11"/>
        <rFont val="Arial"/>
        <family val="2"/>
      </rPr>
      <t>.</t>
    </r>
  </si>
  <si>
    <t>Si desean imprimir una situación, realicen el siguiente procedimiento: seleccionar con el mouse el área donde</t>
  </si>
  <si>
    <t xml:space="preserve">aparece el recibo que se desea imprimir, y con eso seleccionado, ir a archivo, imprimir y elegir la opción </t>
  </si>
  <si>
    <t>selección, de lo contrario les va a imprimir toda la planilla, incluyendo comentarios, etc.</t>
  </si>
  <si>
    <t>Puede aparecer una diferencia con los recibos, se debe al valor del código 256 (fantasma) que es distinto para todos.</t>
  </si>
  <si>
    <t>Víctor Hugo Hutt</t>
  </si>
  <si>
    <t>Prosecretario de Prensa</t>
  </si>
  <si>
    <t>AGMER Seccional Uruguay</t>
  </si>
  <si>
    <r>
      <t xml:space="preserve">Sueldo básico de la categ. </t>
    </r>
    <r>
      <rPr>
        <b/>
        <sz val="10"/>
        <rFont val="Arial"/>
        <family val="2"/>
      </rPr>
      <t>(del activo)</t>
    </r>
  </si>
  <si>
    <t>Porcentaje de Antigüedad</t>
  </si>
  <si>
    <t>(No poner el símbolo %)</t>
  </si>
  <si>
    <t>Puntos básicos</t>
  </si>
  <si>
    <t>Se calcula solo</t>
  </si>
  <si>
    <t>Sueldo básico</t>
  </si>
  <si>
    <t>Antigüedad</t>
  </si>
  <si>
    <t>Haberes</t>
  </si>
  <si>
    <t>Federació de  jubil</t>
  </si>
  <si>
    <t>Aporte IOSPER</t>
  </si>
  <si>
    <t>Seguro ley 3011</t>
  </si>
  <si>
    <t>Reajuste cod 709</t>
  </si>
  <si>
    <t>Serv Sepelio IAPS</t>
  </si>
  <si>
    <t>Otros descuentos</t>
  </si>
  <si>
    <t>Descuentos</t>
  </si>
  <si>
    <t>Líquido</t>
  </si>
  <si>
    <t>Jubilado - HORAS DE NIVEL MEDIO</t>
  </si>
  <si>
    <t>Número de horas</t>
  </si>
  <si>
    <t>Jubilado - HORAS DE NIVEL Superior</t>
  </si>
  <si>
    <t>(no llenar, se calcula solo)</t>
  </si>
  <si>
    <t>puntoindice</t>
  </si>
  <si>
    <t>valorcod038</t>
  </si>
  <si>
    <t>nuevopuntoindice</t>
  </si>
  <si>
    <t>nuevocod038</t>
  </si>
  <si>
    <t>cod06cargo120%</t>
  </si>
  <si>
    <t>nuevocod06cargo</t>
  </si>
  <si>
    <t>indiceproljor</t>
  </si>
  <si>
    <t>nuevoindproljor</t>
  </si>
  <si>
    <t>cod06horas</t>
  </si>
  <si>
    <t>nuevocod06horas</t>
  </si>
  <si>
    <t>cod38med</t>
  </si>
  <si>
    <t>nuevocod38med</t>
  </si>
  <si>
    <t>cod38sup</t>
  </si>
  <si>
    <t>nuevocod38sup</t>
  </si>
  <si>
    <t>INDICE</t>
  </si>
  <si>
    <t>Tarea</t>
  </si>
  <si>
    <t>Prol</t>
  </si>
  <si>
    <t>Jornada</t>
  </si>
  <si>
    <t>CARGO</t>
  </si>
  <si>
    <t>NOMBRE</t>
  </si>
  <si>
    <t>PUNTOS</t>
  </si>
  <si>
    <t>DIFER.</t>
  </si>
  <si>
    <t>JORN</t>
  </si>
  <si>
    <t>Compl</t>
  </si>
  <si>
    <t>JEFE DE PRECEPTORES DE 2DA Y 3RA CATEGORIA</t>
  </si>
  <si>
    <t xml:space="preserve"> RESP. AREA ASISTEMATICA Y SISTEMATICA</t>
  </si>
  <si>
    <t xml:space="preserve"> ASESOR PEDAGOGICO</t>
  </si>
  <si>
    <t xml:space="preserve"> SUPERVISOR D.E.M.Y.A.</t>
  </si>
  <si>
    <t xml:space="preserve"> SECRETARIO DOCENTE D.E.M.Y.A.</t>
  </si>
  <si>
    <t xml:space="preserve"> TECNICO PEDAGOGICO</t>
  </si>
  <si>
    <t xml:space="preserve"> DIRECTOR 1ERA CATEGORIA</t>
  </si>
  <si>
    <t xml:space="preserve"> DIRECTOR 2DA CATEGORIA</t>
  </si>
  <si>
    <t xml:space="preserve"> REGENTE ESC. TECNICA 1ERA CATEGORIA</t>
  </si>
  <si>
    <t xml:space="preserve"> DIRECTOR 3ERA CATEGORIA</t>
  </si>
  <si>
    <t xml:space="preserve"> VICEDIRECTOR 1ERA CATEGORIA</t>
  </si>
  <si>
    <t xml:space="preserve"> VICEDIRECTOR 2DA CATEGORIA</t>
  </si>
  <si>
    <t xml:space="preserve"> JEFE AGROPECUARIO 1ERA CATEGORIA</t>
  </si>
  <si>
    <t xml:space="preserve"> JEFE AGROPECUARIO 2DA CATEGORIA</t>
  </si>
  <si>
    <t xml:space="preserve"> JEFE AGROPECUARIO 3ERA CATEGORIA</t>
  </si>
  <si>
    <t xml:space="preserve"> JEFE SECCION ESC. AGROPECUARIA</t>
  </si>
  <si>
    <t xml:space="preserve"> REGENTE ESC. TECNICA 2DA CATEGORIA</t>
  </si>
  <si>
    <t xml:space="preserve"> MAESTRO ENS PRACT - JEFE SECCION</t>
  </si>
  <si>
    <t xml:space="preserve"> MAESTRO ENS PRACT - 1RA 2DA 3RA</t>
  </si>
  <si>
    <t xml:space="preserve"> JEFE INTERNADO 1ERA CATEGORIA</t>
  </si>
  <si>
    <t xml:space="preserve"> JEFE INTERNADO 3ERA CATEGORIA</t>
  </si>
  <si>
    <t xml:space="preserve"> SECRETARIO 1ERA CATEGORIA</t>
  </si>
  <si>
    <t xml:space="preserve"> SECRETARIO 2DA CATEGORIA</t>
  </si>
  <si>
    <t xml:space="preserve"> SECRETARIO 3ERA CATEGORIA</t>
  </si>
  <si>
    <t xml:space="preserve"> MAESTRO TECNOLOGICO Y ESPECIALIDADES</t>
  </si>
  <si>
    <t xml:space="preserve"> MAESTRO AYUD ENS PRACT 1RA 2DA 3RA</t>
  </si>
  <si>
    <t xml:space="preserve"> PRECEPTOR AYUDANTE INTERNADO 1ERA CATEGORIA</t>
  </si>
  <si>
    <t xml:space="preserve"> PRECEPTOR AYUDANTE INTERNADO 3ERA CATEGORIA</t>
  </si>
  <si>
    <t xml:space="preserve"> PRECEPTOR</t>
  </si>
  <si>
    <t xml:space="preserve"> BIBLIOTECARIO</t>
  </si>
  <si>
    <t xml:space="preserve"> MAESTRO DE GRADO</t>
  </si>
  <si>
    <t xml:space="preserve"> JEFE DE LABORATORIO</t>
  </si>
  <si>
    <t xml:space="preserve"> JEFE DE ENS PRACTICA</t>
  </si>
  <si>
    <t xml:space="preserve"> AYTE TEC DE TRAB PRACT/LABORATORIO</t>
  </si>
  <si>
    <t xml:space="preserve"> SUBJEFE DE PRECEPT 1RA CAT</t>
  </si>
  <si>
    <t xml:space="preserve"> RECTOR PROYECTO 13</t>
  </si>
  <si>
    <t xml:space="preserve"> JEFE INTERNADO 2DA CATEGORIA</t>
  </si>
  <si>
    <t xml:space="preserve"> PRECEPTOR AYUDANTE DE INTERNADO 2DA CATEGORIA</t>
  </si>
  <si>
    <t xml:space="preserve"> VICEDIRECTOR 3ERA CATEGORIA</t>
  </si>
  <si>
    <t xml:space="preserve"> VICERECTOR PROYECTO 13</t>
  </si>
  <si>
    <t xml:space="preserve"> ASESOR PEDAG PROYECTO 13</t>
  </si>
  <si>
    <t xml:space="preserve"> AYUDANTE CLASES PRACTICAS (14 Hs)</t>
  </si>
  <si>
    <t xml:space="preserve"> INSTRUCTOR COMPLEJO AGRARIO</t>
  </si>
  <si>
    <t xml:space="preserve"> DIRECTOR DE 1° C.E.F.</t>
  </si>
  <si>
    <t xml:space="preserve"> MAESTRO DE CICLO E.G.B.</t>
  </si>
  <si>
    <t xml:space="preserve"> COORDINADOR DE ACCIONES NO FORMALES</t>
  </si>
  <si>
    <t xml:space="preserve"> AUXILIAR DE ACCIONES NO FORMALES</t>
  </si>
  <si>
    <t xml:space="preserve"> INSTRUCTOR ESC. AGROPECUARIAS</t>
  </si>
  <si>
    <t xml:space="preserve"> JEFE TALLER ESC. TECNICA 3ERA CATEGORIA</t>
  </si>
  <si>
    <t xml:space="preserve"> JEFE TALLER ESC. TECNICA 1ERA CATEGORIA</t>
  </si>
  <si>
    <t xml:space="preserve"> JEFE TALLER ESC. TECNICA 2DA CATEGORIA</t>
  </si>
  <si>
    <t xml:space="preserve"> PROSECRETARIO 1ERA CAT.</t>
  </si>
  <si>
    <t xml:space="preserve"> PROSECRETARIO 2DA Y 3ERA CAT.</t>
  </si>
  <si>
    <t xml:space="preserve"> JEFE DE PRECEPTORES 1ERA CAT.</t>
  </si>
  <si>
    <t xml:space="preserve"> JEFE DE PRECEPTORES 2DA Y 3ERA CAT.</t>
  </si>
  <si>
    <t xml:space="preserve"> SUBJEFE DE PRECEPTORES 1ERA CAT.</t>
  </si>
  <si>
    <t xml:space="preserve"> JEFE DE PRECEPTORES J. C. AGRARIA</t>
  </si>
  <si>
    <t xml:space="preserve"> JEFE GRAL. DE ENSENANZA PRACTICA 3RA CAT.</t>
  </si>
  <si>
    <r>
      <t xml:space="preserve"> JEFE DPTO. EDUCACION FISICA</t>
    </r>
    <r>
      <rPr>
        <b/>
        <sz val="9"/>
        <color indexed="10"/>
        <rFont val="Arial"/>
        <family val="2"/>
      </rPr>
      <t xml:space="preserve"> (transformado) 971 + 620</t>
    </r>
  </si>
  <si>
    <t xml:space="preserve"> DIRECTOR DE 1ERA CAT. CON PROLONG. DE JORN.</t>
  </si>
  <si>
    <t xml:space="preserve"> DIRECTOR DE 2DA CAT. CON PROLONG. DE JORN.</t>
  </si>
  <si>
    <t xml:space="preserve"> DIRECTOR DE 3ERA CAT. CON PROLONG. DE JORN.</t>
  </si>
  <si>
    <t xml:space="preserve"> VICEDIRECTOR DE 1ERA CAT. CON PROLONG. DE JORN.</t>
  </si>
  <si>
    <t xml:space="preserve"> VICEDIRECTOR DE 2DA CAT. CON PROLONG. DE JORN.</t>
  </si>
  <si>
    <t xml:space="preserve"> DIRECTOR DE 1ERA A/C DE 2 TURNOS CON P. DE JORN</t>
  </si>
  <si>
    <t xml:space="preserve"> DIRECTOR DE 2DA A/C DE 2 TURNOS CON P. DE JORN.</t>
  </si>
  <si>
    <t xml:space="preserve"> DIRECTOR DE 3ERA A/C DE 2 TURNOS CON P. DE JORN.</t>
  </si>
  <si>
    <t xml:space="preserve"> JEFE AGROPECUARIO 1ERA CAT. CON PROLONG. DE JORN.</t>
  </si>
  <si>
    <t xml:space="preserve"> JEFE AGROPECUARIO 2DA CAT. CON PROLONG. DE JORN.</t>
  </si>
  <si>
    <t xml:space="preserve"> JEFE AGROPECUARIO 3ERA CAT. CON PROLONG. DE JORN.</t>
  </si>
  <si>
    <t xml:space="preserve"> JEFE SECCION ESC. AGROP. CON PROLONG. DE JORN.</t>
  </si>
  <si>
    <t xml:space="preserve"> JEFE INTERN. 1ERA CAT. ESC. AGROP. CON P. DE JORN.</t>
  </si>
  <si>
    <t xml:space="preserve"> JEFE INTERN. 2DA CAT. ESC. AGROP. CON P. DE JORN.</t>
  </si>
  <si>
    <t xml:space="preserve"> JEFE INTERN. 3ERA CAT. ESC. AGROP. CON P. DE JORN.</t>
  </si>
  <si>
    <t xml:space="preserve"> PRECEPTOR AYUDANTE INTERN. 1ERA CAT. CON P. DE JORN. (Pasó a 684)</t>
  </si>
  <si>
    <t xml:space="preserve"> PRECEPTOR AYUDANTE INTERN. 2DA CAT. CON P. DE JORN. (Pasó a 684)</t>
  </si>
  <si>
    <t xml:space="preserve"> PRECEPTOR AYUDANTE INTERNADO</t>
  </si>
  <si>
    <t xml:space="preserve"> VICEDIRECTOR ESC. 3ERA CAT. CON PROLONG. DE JORN.</t>
  </si>
  <si>
    <t xml:space="preserve"> DIRECTOR DE 1ERA CAT. A/C DE 3 TURNOS CON P. DE JORN.</t>
  </si>
  <si>
    <t xml:space="preserve"> DIRECTOR DE 2DA CAT. A/C DE 3 TURNOS CON P. DE JORN.</t>
  </si>
  <si>
    <t xml:space="preserve"> DIRECTOR DE 3ERA CAT. A/C DE 3 TURNOS CON P. DE JORN.</t>
  </si>
  <si>
    <t xml:space="preserve"> PRECEPTOR AYUDANTE INTERN. ESC. TECNICA (Pasó a 684)</t>
  </si>
  <si>
    <t>JEFE SECTORIAL DE JORNADA COMPLETA AGRARIA</t>
  </si>
  <si>
    <t xml:space="preserve"> JEFE INTERN. ESC. TECNICA 1ERA CAT. CON PROL. DE JORN.</t>
  </si>
  <si>
    <t xml:space="preserve"> JEFE INTERN. ESC. TECNICA 2DA CAT. CON PROL. DE JORN.</t>
  </si>
  <si>
    <t xml:space="preserve"> JEFE INTERN. ESC. TECNICA 3ERA CAT. CON PROL. DE JORN.</t>
  </si>
  <si>
    <t xml:space="preserve"> AYUDANTE DE CATEDRA</t>
  </si>
  <si>
    <t xml:space="preserve"> REGENTE DE 3ERA CAT.</t>
  </si>
  <si>
    <t xml:space="preserve"> SUBREGENTE DE 1ERA CAT.</t>
  </si>
  <si>
    <t xml:space="preserve"> JEFE GRAL. DE ENS. PRACTICA 1ERA CAT.</t>
  </si>
  <si>
    <t xml:space="preserve"> JEFE GRAL. DE ENS. PRACTICA 2DA CAT.</t>
  </si>
  <si>
    <t xml:space="preserve"> MAESTRO DE GRADO ESC. ANEXAS FFAA</t>
  </si>
  <si>
    <t xml:space="preserve"> ASESORES</t>
  </si>
  <si>
    <t xml:space="preserve"> DIRECTOR ESC. 3RA CAT. ESC. ANEXAS FFAA</t>
  </si>
  <si>
    <t xml:space="preserve"> DIRECTOR ESC. 2DA CAT. ESC. ANEXAS FFAA</t>
  </si>
  <si>
    <t xml:space="preserve"> COORDINADOR HOGAR ESCUELA</t>
  </si>
  <si>
    <t xml:space="preserve"> JEFE DEPARTAMENTO TECNICO</t>
  </si>
  <si>
    <t xml:space="preserve"> SUPERVISOR DE ENSENANZA PRIMARIA</t>
  </si>
  <si>
    <t xml:space="preserve"> SUPERVISOR DE ENSENANZA ESPECIAL</t>
  </si>
  <si>
    <t xml:space="preserve"> SUPERVISOR DE EDUCACION FISICA</t>
  </si>
  <si>
    <t xml:space="preserve"> SUPERVISOR DE ACTIVIDADES PRACTICAS</t>
  </si>
  <si>
    <t xml:space="preserve"> SUPERVISOR DE EDUCACION MUSICAL</t>
  </si>
  <si>
    <t xml:space="preserve"> TECNICO DOCENTE</t>
  </si>
  <si>
    <t xml:space="preserve"> SECRETARIO DOCENTE HOGAR ESCUELA</t>
  </si>
  <si>
    <t xml:space="preserve"> DIRECTOR ESCUELA 1ERA CATEGORIA</t>
  </si>
  <si>
    <t xml:space="preserve"> DIRECTOR GABINETE DE PSICOMETRIA</t>
  </si>
  <si>
    <t xml:space="preserve"> DIRECTOR NIVEL INICIAL 1ERA CATEGORIA</t>
  </si>
  <si>
    <t xml:space="preserve"> DIRECTOR ESCUELA 2DA CATEGORIA</t>
  </si>
  <si>
    <t xml:space="preserve"> DIRECTOR NIVEL INICIAL 2DA CATEGORIA</t>
  </si>
  <si>
    <t xml:space="preserve"> DIRECTOR ESCUELA EDUCACION ESPECIAL</t>
  </si>
  <si>
    <t xml:space="preserve"> DIRECTOR ESCUELA 3ERA CATEGORIA</t>
  </si>
  <si>
    <t xml:space="preserve"> VICEDIRECTOR ESCUELA 1ERA CATEGORIA</t>
  </si>
  <si>
    <t xml:space="preserve"> DIRECTOR ESCUELA CARCEL</t>
  </si>
  <si>
    <t xml:space="preserve"> DIRECTOR ESCUELA 4TA CATEGORIA</t>
  </si>
  <si>
    <t xml:space="preserve"> TECNICO DIFERENCIADO</t>
  </si>
  <si>
    <t xml:space="preserve"> VICEDIRECTOR ESCUELA 2DA CATEGORIA</t>
  </si>
  <si>
    <t xml:space="preserve"> DIRECTOR ESCUELA MATERNAL</t>
  </si>
  <si>
    <t xml:space="preserve"> DIRECTOR ESCUELA ADULTOS 1ERA CATEGORIA</t>
  </si>
  <si>
    <t xml:space="preserve"> DIRECTOR ESCUELA CORAL</t>
  </si>
  <si>
    <t xml:space="preserve"> DIRECTOR ESCUELA ADULTOS 2DA CATEGORIA</t>
  </si>
  <si>
    <t xml:space="preserve"> MAESTRO DOMICILIARIO</t>
  </si>
  <si>
    <t xml:space="preserve"> VISITADOR</t>
  </si>
  <si>
    <t xml:space="preserve"> ASISTENTE SOCIAL</t>
  </si>
  <si>
    <t xml:space="preserve"> MAESTRO ESCUELA DIFERENCIADA</t>
  </si>
  <si>
    <t xml:space="preserve"> DIRECTOR PARQUE ESCOLAR "E. BERDUC"</t>
  </si>
  <si>
    <t xml:space="preserve"> MAESTRO ESPECIAL EDUCACION MUSICAL DIFERENCIADO</t>
  </si>
  <si>
    <t xml:space="preserve"> MAESTRO JARDIN DE INFANTES</t>
  </si>
  <si>
    <t xml:space="preserve"> MAESTRO DE GRADO DIFERENCIADO</t>
  </si>
  <si>
    <t xml:space="preserve"> MAESTRO CARCELARIO</t>
  </si>
  <si>
    <t xml:space="preserve"> SECRETARIO ESCUELA 2DA CATEGORIA</t>
  </si>
  <si>
    <t xml:space="preserve"> MAESTRO ESPECIAL ACTIVIDAD PRACTICAS DIFERENCIADA</t>
  </si>
  <si>
    <t xml:space="preserve"> MAESTRO ESCUELA MATERNAL</t>
  </si>
  <si>
    <t xml:space="preserve"> SECRETARIO ESCUELA 1ERA CATEGORIA</t>
  </si>
  <si>
    <t xml:space="preserve"> MAESTRO ESPECIAL ESCUELA CORAL</t>
  </si>
  <si>
    <t xml:space="preserve"> MAESTRO AUXILIAR ESCUELA DIFERENCIADA</t>
  </si>
  <si>
    <t xml:space="preserve"> MAESTRO EDUCACION FISICA</t>
  </si>
  <si>
    <t xml:space="preserve"> SECRETARIO ESCUELA ADULTOS</t>
  </si>
  <si>
    <t xml:space="preserve"> PSICOPEDAGOGO</t>
  </si>
  <si>
    <t xml:space="preserve"> TECNICO DOCENTE ENSENANZA ESPECIAL</t>
  </si>
  <si>
    <t xml:space="preserve"> DIRECTOR ESCUELA PARA CIEGOS</t>
  </si>
  <si>
    <t xml:space="preserve"> MAESTRO ESCUELA NOCTURNA</t>
  </si>
  <si>
    <t xml:space="preserve"> MAESTRO ESPECIAL ACTIVIDADES PRACTICAS</t>
  </si>
  <si>
    <t xml:space="preserve"> SECRETARIO PARQUE ESCOLAR</t>
  </si>
  <si>
    <t xml:space="preserve"> MAESTRO ESPECIAL ACTIVIDADES PRACTICAS ADULTO</t>
  </si>
  <si>
    <t xml:space="preserve"> MAESTRO ESPECIAL TECNICO AGROPECUARIO</t>
  </si>
  <si>
    <t xml:space="preserve"> MAESTRO HOSPITALARIO</t>
  </si>
  <si>
    <t xml:space="preserve"> BIBLIOTECARIO PEDAGOGICO</t>
  </si>
  <si>
    <t xml:space="preserve"> COORDINADOR CENTRO LABORAL</t>
  </si>
  <si>
    <t xml:space="preserve"> COORDINADOR DEPARTAMENTAL</t>
  </si>
  <si>
    <t xml:space="preserve"> MAESTRO ESPECIAL EDUCACION MUSICAL</t>
  </si>
  <si>
    <t xml:space="preserve"> FONOAUDIOLOGO</t>
  </si>
  <si>
    <t xml:space="preserve"> PSICOLOGO</t>
  </si>
  <si>
    <t xml:space="preserve"> DIRECTOR ESCUELA PARA SORDOS</t>
  </si>
  <si>
    <t xml:space="preserve"> VICEDIRECTOR ESCUELA ENSENANZA ESPECIAL</t>
  </si>
  <si>
    <t xml:space="preserve"> MAESTRO ESPECIAL EDUCACION FISICA DIFERENCIADO</t>
  </si>
  <si>
    <t xml:space="preserve"> SECRETARIO DOCENTE</t>
  </si>
  <si>
    <t xml:space="preserve"> SUPERVISOR ENSENANZA ADULTOS</t>
  </si>
  <si>
    <t xml:space="preserve"> MAESTRO AUXILIAR ESCUELA DIFERENCIADA JORNADA COMPLETA</t>
  </si>
  <si>
    <t xml:space="preserve"> MAESTRO ESPECIAL ACT. PRACT. DIFERENCIADA J. COMPLETA</t>
  </si>
  <si>
    <t xml:space="preserve"> DIRECTOR ESCUELA DIFERENCIADA JORNADA COMPLETA</t>
  </si>
  <si>
    <t xml:space="preserve"> VICEDIRECTOR ESCUELA DIFERENCIADA JORNADA COMPLETA</t>
  </si>
  <si>
    <t xml:space="preserve"> SECRETARIO ESCUELA DIFERENCIADA</t>
  </si>
  <si>
    <t xml:space="preserve"> MAESTRO ESPECIAL DE TALLER</t>
  </si>
  <si>
    <t xml:space="preserve"> MAESTRO ESPECIAL DE TALLER ANEXO ALBERGUE</t>
  </si>
  <si>
    <t xml:space="preserve"> DIRECTOR NIVEL INICIAL 3ERA CATEGORIA</t>
  </si>
  <si>
    <t xml:space="preserve"> CAPACITADORES CENTROS LABORALES   mecl</t>
  </si>
  <si>
    <t xml:space="preserve"> JEFE DPTO PEDAGOGICO Y SUPERVISION</t>
  </si>
  <si>
    <t>COORD. DPTAL. DE CENTROS P/ADULTOS</t>
  </si>
  <si>
    <t xml:space="preserve"> MAESTRO ESPECIAL EDUCACION MUSICAL ADULTOS</t>
  </si>
  <si>
    <t xml:space="preserve"> SECRETARIO DE SUPERVISION</t>
  </si>
  <si>
    <t xml:space="preserve"> ASESOR PSICOLOGIA EDUCATIVA</t>
  </si>
  <si>
    <t xml:space="preserve"> MAESTRO NIVELADOR</t>
  </si>
  <si>
    <t xml:space="preserve"> SUPERVISOR NIVEL INICIAL</t>
  </si>
  <si>
    <t xml:space="preserve"> SUPERVISOR BIBLIOTECAS ESCOLARES</t>
  </si>
  <si>
    <t xml:space="preserve"> SUPERVISOR TECNICO</t>
  </si>
  <si>
    <t xml:space="preserve"> DIRECTOR DPTO APLICACION</t>
  </si>
  <si>
    <t xml:space="preserve"> VICEDIRECTOR DPTO APLICACION DE 2DA CATEGORIA </t>
  </si>
  <si>
    <t xml:space="preserve"> SECRETARIO DPTO APLICACION</t>
  </si>
  <si>
    <t xml:space="preserve"> MAESTRO DPTO APLICACION</t>
  </si>
  <si>
    <t xml:space="preserve"> MAESTRO MATERIAS ESPECIALES DPTO APLICACION</t>
  </si>
  <si>
    <t xml:space="preserve"> DIRECTOR 1ERA CATEGORIA JORNADA COMPLETA</t>
  </si>
  <si>
    <t xml:space="preserve"> DIRECTOR 2DA CATEGORIA JORNADA COMPLETA</t>
  </si>
  <si>
    <t xml:space="preserve"> DIRECTOR 3ERA CATEGORIA JORNADA COMPLETA</t>
  </si>
  <si>
    <t xml:space="preserve"> DIRECTOR 4TA CATEGORIA JORNADA COMPLETA</t>
  </si>
  <si>
    <t xml:space="preserve"> VICEDIRECTOR 2DA CATEGORIA JORNADA COMPLETA</t>
  </si>
  <si>
    <t xml:space="preserve"> MAESTRO DE GRADO JORNADA COMPLETA</t>
  </si>
  <si>
    <t xml:space="preserve"> MAESTRO ESPECIAL DE ACT. PRACTICAS JORN. COMPLETA</t>
  </si>
  <si>
    <t xml:space="preserve"> MAESTRO JARDIN DE INFANTES JORNADA COMPLETA</t>
  </si>
  <si>
    <t xml:space="preserve"> VICEDIRECTOR NIVEL INICIAL 2DA CATEGORIA</t>
  </si>
  <si>
    <t xml:space="preserve"> DIRECTOR 2DA ANEXO ALBERGUE</t>
  </si>
  <si>
    <t xml:space="preserve"> MAESTRO DE GRADO ANEXO ALBERGUE</t>
  </si>
  <si>
    <t xml:space="preserve"> MAESTRO ESP. ACTIV. PRACTICAS ANEXO ALBERGUE</t>
  </si>
  <si>
    <t xml:space="preserve"> DIRECTOR 3ERA CATEGORIA ANEXO ALBERGUE</t>
  </si>
  <si>
    <t xml:space="preserve"> DIRECTOR 4TA CATEGORIA ANEXO ALBERGUE</t>
  </si>
  <si>
    <t xml:space="preserve"> CELADOR ANEXO ALBERGUE</t>
  </si>
  <si>
    <t xml:space="preserve"> VICEDIRECTOR 1ERA CATEGORIA JORNADA COMPLETA</t>
  </si>
  <si>
    <t xml:space="preserve"> SECRETARIO 1ERA CATEGORIA JORNADA COMPLETA</t>
  </si>
  <si>
    <t xml:space="preserve"> SECRETARIO 2DA CATEGORIA JORNADA COMPLETA</t>
  </si>
  <si>
    <t xml:space="preserve"> SECRETARIO 3ERA CATEGORIA JORNADA COMPLETA</t>
  </si>
  <si>
    <t xml:space="preserve"> COORDINADOR PROVINCIAL DEL PROGRAMA</t>
  </si>
  <si>
    <t xml:space="preserve"> TECNICO DEL PROGRAMA 35 HS</t>
  </si>
  <si>
    <t xml:space="preserve"> TECNICO DOCENTE 20 HS</t>
  </si>
  <si>
    <t xml:space="preserve"> RESPONSABLE ZONAL O SECTORIAL</t>
  </si>
  <si>
    <t xml:space="preserve"> EDUCADOR DE ADULTOS</t>
  </si>
  <si>
    <t xml:space="preserve"> COORDINADOR ZONAL EDUCACION ADULTOS</t>
  </si>
  <si>
    <t xml:space="preserve"> MAESTRO ESPECIAL EDUCACION MUSICAL JORNADA COMPLETA</t>
  </si>
  <si>
    <t xml:space="preserve"> MAESTRO ESPECIAL EDUCACION FISICA JORN. COMPLETA</t>
  </si>
  <si>
    <t xml:space="preserve"> MAESTRO ESPECIAL JORNADA SIMPLE SIN PROLONGACION DE JORNADA</t>
  </si>
  <si>
    <t xml:space="preserve"> MAESTRO ESPECIAL EDUCACION MUSICAL ANEXO ALBERGUE</t>
  </si>
  <si>
    <t xml:space="preserve"> MAESTRO ESPECIAL EDUCACION FISICA ANEXO ALBERGUE</t>
  </si>
  <si>
    <t xml:space="preserve"> MAESTRO ESPECIAL DE TALLER JORNADA COMPLETA</t>
  </si>
  <si>
    <t xml:space="preserve"> MAESTRO ESPECIAL TECNICO AGROPECUARIO JORN. COMPLETA</t>
  </si>
  <si>
    <t xml:space="preserve"> DIRECTOR PERSONAL UNICO</t>
  </si>
  <si>
    <t xml:space="preserve"> SECRETARIO ESCUELA 3ERA CATEGORIA</t>
  </si>
  <si>
    <t xml:space="preserve"> COORDINADOR CENTRO COMUNITARIO</t>
  </si>
  <si>
    <t xml:space="preserve"> MAESTRO GRADO EGB3 (PRIMARIA)</t>
  </si>
  <si>
    <t xml:space="preserve"> JEFE DPTO PEDAGOGICO Y DE SUPERVISION</t>
  </si>
  <si>
    <t xml:space="preserve"> SUPERVISOR INSTITUTO SUPERIOR</t>
  </si>
  <si>
    <t xml:space="preserve"> SUPERVISOR ENSE¥ANZA ESPECIAL</t>
  </si>
  <si>
    <t xml:space="preserve"> SUPERVISOR ENSE¥ANZA PRIMARIA</t>
  </si>
  <si>
    <t xml:space="preserve"> VICERECTOR INSTITUTO SUPERIOR</t>
  </si>
  <si>
    <t xml:space="preserve"> SECRETARIO TECNICO DPTO. PEDAGOGICO</t>
  </si>
  <si>
    <t xml:space="preserve"> DIRECTOR PRIMERA CATEGORIA</t>
  </si>
  <si>
    <t xml:space="preserve"> DIRECTOR SEGUNDA CATEGORIA</t>
  </si>
  <si>
    <t xml:space="preserve"> DIRECTOR TERCERA CATEGORIA</t>
  </si>
  <si>
    <t xml:space="preserve"> DIRECTOR CUARTA CATEGORIA</t>
  </si>
  <si>
    <t xml:space="preserve"> DIRECTOR ESC. NIVEL INICIAL 2DA CATEGORIA</t>
  </si>
  <si>
    <t xml:space="preserve"> VICEDIRECTOR ESC. PRIMARIA 1ERA CATEGORIA</t>
  </si>
  <si>
    <t xml:space="preserve"> VICEDIRECTOR ESC. PRIMARIA 2DA CATEGORIA</t>
  </si>
  <si>
    <t xml:space="preserve"> VICEDIRECTOR ESC. EDUCACION ESPECIAL</t>
  </si>
  <si>
    <t xml:space="preserve"> SECRETARIO ESC. 2DA CATEGORIA</t>
  </si>
  <si>
    <t xml:space="preserve"> MAESTRO DE GRADO ESC. PRIMARIA</t>
  </si>
  <si>
    <t xml:space="preserve"> MAESTRO DE JARDIN DE INFANTES</t>
  </si>
  <si>
    <t xml:space="preserve"> MAESTRO DE GRUPO ESC. DIFERENCIADA</t>
  </si>
  <si>
    <t xml:space="preserve"> MAESTRO DE GRADO ADULTOS</t>
  </si>
  <si>
    <t xml:space="preserve"> MAESTRO DE EDUCACION FISICA</t>
  </si>
  <si>
    <t xml:space="preserve"> MAESTRO MATERIAS ESPECIALES</t>
  </si>
  <si>
    <t xml:space="preserve"> MAESTRO MATERIAS ESPECIALES ESC. DIFERENCIADA</t>
  </si>
  <si>
    <t xml:space="preserve"> PRECEPTOR ESC. DIFERENCIADA</t>
  </si>
  <si>
    <t xml:space="preserve"> DIRECTOR ESCUELA CAPACITACION TECNICA 4TA CATEGORIA</t>
  </si>
  <si>
    <t xml:space="preserve"> MAESTRO ESC. CAPACITACION TECNICA</t>
  </si>
  <si>
    <t xml:space="preserve"> RECTOR INSTITUTO SUPERIOR</t>
  </si>
  <si>
    <t xml:space="preserve"> SECRETARIO INSTITUTO SUPERIOR</t>
  </si>
  <si>
    <t xml:space="preserve"> BIBLIOTECARIO INSTITUTO SUPERIOR</t>
  </si>
  <si>
    <t xml:space="preserve"> PRECEPTOR INSTITUTO SUPERIOR</t>
  </si>
  <si>
    <t xml:space="preserve"> BEDEL</t>
  </si>
  <si>
    <t>PRECEPTOR INSTITUTO SUPERIOR - PRIVADA</t>
  </si>
  <si>
    <t xml:space="preserve"> DIRECTOR ESC. CAPACITACION TECNICA 3ERA CATEGORIA</t>
  </si>
  <si>
    <t xml:space="preserve"> DIRECTOR ESC. CAPACITACION TECNICA 1ERA CATEGORIA</t>
  </si>
  <si>
    <t xml:space="preserve"> DIRECTOR ESC. CAPACITACION TECNICA 2DA CATEGORIA</t>
  </si>
  <si>
    <t xml:space="preserve"> SECRETARIO ESC. PRIMARIA 1ERA CATEGORIA</t>
  </si>
  <si>
    <t xml:space="preserve"> DIRECTOR ESC. 2DA CATEGORIA JORNADA COMPLETA</t>
  </si>
  <si>
    <t xml:space="preserve"> MAESTRO DE EDUCACION FISICA JORNADA COMPLETA</t>
  </si>
  <si>
    <t xml:space="preserve"> MAESTRO DE ACTIVIDADES PRACTICAS JORNADA COMPLETA</t>
  </si>
  <si>
    <t xml:space="preserve"> MAESTRO DE EDUCACION MUSICAL JORNADA COMPLETA</t>
  </si>
  <si>
    <t xml:space="preserve"> VICEDIRECTOR ESC. 2DA CATEGORIA JORNADA COMPLETA</t>
  </si>
  <si>
    <t xml:space="preserve"> DIRECTOR ESC. 3ERA CAT. JORNADA COMPLETA</t>
  </si>
  <si>
    <t xml:space="preserve"> VICEDIRECTOR ESC. TECNICA 1ERA CATEGORIA</t>
  </si>
  <si>
    <t xml:space="preserve"> SECRETARIO DOCENTE PRIVADA</t>
  </si>
  <si>
    <t xml:space="preserve"> DIRECTOR ESCUELA ENFERMERIA</t>
  </si>
  <si>
    <t xml:space="preserve"> JEFE DOCENTE ESCUELA ENFERMERIA</t>
  </si>
  <si>
    <t xml:space="preserve"> SECRETARIO DOCENTE ESCUELA ENFERMERIA</t>
  </si>
  <si>
    <t xml:space="preserve"> SECRETARIO ADMINISTRATIVO ESCUELA ENFERMERIA</t>
  </si>
  <si>
    <t xml:space="preserve"> INSTRUCTOR INSTITUTO SUPERIOR</t>
  </si>
  <si>
    <t xml:space="preserve"> SECRETARIO DOCENTE SUPERIOR</t>
  </si>
  <si>
    <t xml:space="preserve"> SECRETARIO ACADEMICO</t>
  </si>
  <si>
    <t xml:space="preserve"> JEFE LABORATORIO COMPUTACION</t>
  </si>
  <si>
    <t xml:space="preserve"> MAESTRO ESCUELA ESPECIAL</t>
  </si>
  <si>
    <t xml:space="preserve"> PRECEPTOR GUIA INTERNADO INSTITUTO SUPERIOR</t>
  </si>
  <si>
    <t xml:space="preserve"> SECRETARIO ESCUELA ESPECIAL</t>
  </si>
  <si>
    <t xml:space="preserve"> DIRECTOR ESC. NIVEL INICIAL 3era CATEGORIA</t>
  </si>
  <si>
    <t xml:space="preserve"> DIRECTOR ESC. NIVEL INICIAL 4ta CATEGORIA</t>
  </si>
  <si>
    <t xml:space="preserve"> KINESIOLOGO</t>
  </si>
  <si>
    <t xml:space="preserve"> MAESTRO ORIENTADOR</t>
  </si>
  <si>
    <t xml:space="preserve"> MAESTRO DE EDUCACION MUSICAL</t>
  </si>
  <si>
    <t xml:space="preserve"> MAESTRO DE ACTIVIDADES PRACTICAS</t>
  </si>
  <si>
    <t xml:space="preserve"> DIRECTOR DPTO APLICACIÓN L. V.</t>
  </si>
  <si>
    <t xml:space="preserve"> SUBDIRECTOR DPTO APLICACION L.V.</t>
  </si>
  <si>
    <t xml:space="preserve"> JEFE DPTO EDUCACION FISICA</t>
  </si>
  <si>
    <t xml:space="preserve"> DIRECTOR JARDIN DE INFANTES</t>
  </si>
  <si>
    <t xml:space="preserve"> SUBDIRECTOR JARDIN DE INFANTES</t>
  </si>
  <si>
    <t xml:space="preserve"> MAESTRO DE GRADO L.V.</t>
  </si>
  <si>
    <t xml:space="preserve"> MAESTRO ESP DPTO APLICACION L.V.</t>
  </si>
  <si>
    <t xml:space="preserve"> ANALISTA TECNICO</t>
  </si>
  <si>
    <t xml:space="preserve"> MAESTRO ESPECIAL JARDIN DEINFANTES</t>
  </si>
  <si>
    <t xml:space="preserve"> DIRECTOR/RECTOR 1§ - 2 TURNOS</t>
  </si>
  <si>
    <t xml:space="preserve"> DIRECTOR/RECTOR 1§ - 3 TURNOS</t>
  </si>
  <si>
    <t xml:space="preserve"> VICEDIRECTOR 1RA Y 2DA</t>
  </si>
  <si>
    <t xml:space="preserve"> REGENTE</t>
  </si>
  <si>
    <t xml:space="preserve"> VICERECTOR CURSO PROF.</t>
  </si>
  <si>
    <t xml:space="preserve"> RECTOR CURSO PROF.</t>
  </si>
  <si>
    <t xml:space="preserve"> SECRETARIO NIVEL SUPERIOR</t>
  </si>
  <si>
    <t xml:space="preserve"> PROSECRETARIO NIVEL SUPERIOR</t>
  </si>
  <si>
    <t xml:space="preserve"> JEFE TRABAJOS PRACTICOS</t>
  </si>
  <si>
    <t xml:space="preserve"> DIRECTOR</t>
  </si>
  <si>
    <t xml:space="preserve"> ANALISTA PRINC TEC DOC</t>
  </si>
  <si>
    <t>SUPERVISOR DE INSTITUTO SUPERIOR</t>
  </si>
  <si>
    <t/>
  </si>
  <si>
    <t>PUNTOS basicos</t>
  </si>
  <si>
    <t xml:space="preserve"> tarea DIFER.</t>
  </si>
  <si>
    <t>Prol JORN</t>
  </si>
  <si>
    <t>jorn Compl</t>
  </si>
  <si>
    <t>Código 256 estimado</t>
  </si>
  <si>
    <t>Traslado cod 188</t>
  </si>
  <si>
    <t>Traslado cod 256</t>
  </si>
  <si>
    <t>Función diferencial</t>
  </si>
  <si>
    <t>prolong. Jorn - Docente</t>
  </si>
  <si>
    <t>Federación de  jubil</t>
  </si>
  <si>
    <t>Dto. 1109/05(cod06act)</t>
  </si>
  <si>
    <t>Jubilado - CARGOS</t>
  </si>
  <si>
    <t>cargos</t>
  </si>
  <si>
    <t xml:space="preserve">Deben seleccionar el número de cargo o  el número de horas que aparecen en rojo, </t>
  </si>
  <si>
    <t>todo lo demás aparece automáticamente</t>
  </si>
  <si>
    <t>Si no conocen el número de cargo, lo pueden buscar en la hoja "cargos", seleccionando la pestaña</t>
  </si>
  <si>
    <t xml:space="preserve">que aparece en la parte inferior de la pantalla o presionando al final de este párrafo, y buscar su </t>
  </si>
  <si>
    <t>número para luego ingresarlo en el lugar especificado.</t>
  </si>
  <si>
    <t>Cargos</t>
  </si>
  <si>
    <t xml:space="preserve">Meses trabajados en el cargo en los últimos 10 años: </t>
  </si>
  <si>
    <t>Si trabajaron en los últimos 10 años en diferentes cargos, se deberá calcular en forma fraccionada,</t>
  </si>
  <si>
    <t>aunque es un solo recibo, aparecen los haberes en forma fraccionada y los descuentos juntos, por</t>
  </si>
  <si>
    <t xml:space="preserve">lo que se deberán sumar con calculadora. Para que funcione el fraccionamiento se deberá </t>
  </si>
  <si>
    <r>
      <t xml:space="preserve">completar la cantidad de meses en cada cargo en el lugar señalado, donde aparece un </t>
    </r>
    <r>
      <rPr>
        <b/>
        <sz val="11"/>
        <color indexed="10"/>
        <rFont val="Arial"/>
        <family val="2"/>
      </rPr>
      <t>120</t>
    </r>
    <r>
      <rPr>
        <sz val="11"/>
        <rFont val="Arial"/>
        <family val="2"/>
      </rPr>
      <t xml:space="preserve"> en rojo,</t>
    </r>
  </si>
  <si>
    <r>
      <t xml:space="preserve">de no ser necesario el fraccionamiento, mantener el </t>
    </r>
    <r>
      <rPr>
        <b/>
        <sz val="11"/>
        <color indexed="10"/>
        <rFont val="Arial"/>
        <family val="2"/>
      </rPr>
      <t>120</t>
    </r>
  </si>
  <si>
    <t>meses desde su jubilación hasta marzo de 2006.</t>
  </si>
  <si>
    <t>Miembro de comisión de salario AGMER</t>
  </si>
  <si>
    <t>www.agmeruruguay.com.ar</t>
  </si>
  <si>
    <t>Otros</t>
  </si>
  <si>
    <t>Listado Cargos</t>
  </si>
  <si>
    <t>Dto. 1109/05 (cod 06 act)</t>
  </si>
  <si>
    <t>Fracción</t>
  </si>
  <si>
    <t>Bon zona esc</t>
  </si>
  <si>
    <t>Zona</t>
  </si>
  <si>
    <t>El valor de la deuda es una estimación personal, de acuerdo a los datos que tengo, pero me ha dado</t>
  </si>
  <si>
    <t>bien en los recibos controlados. La cuota de deuda me da con un error de $ 5. Da bien con 25,5 meses.</t>
  </si>
  <si>
    <t>Para los que tengan menos tiempo de jubilados, deben completar con la cantidad de</t>
  </si>
  <si>
    <t>Aumenta 50 %</t>
  </si>
  <si>
    <t>Valor anterior</t>
  </si>
  <si>
    <t>Nuevo valor</t>
  </si>
  <si>
    <t>Monto remunerativo</t>
  </si>
  <si>
    <t>Tabla a la</t>
  </si>
  <si>
    <t>derecha</t>
  </si>
  <si>
    <t>porc rem cod 17</t>
  </si>
  <si>
    <t>porc rem y bon cod 17</t>
  </si>
  <si>
    <t>el comentario aparece al posicionar el cursor sobre la celda.</t>
  </si>
  <si>
    <t xml:space="preserve">Leer los comentarios en las celdas que tengan una puntita roja en el ángulo superior derecho, </t>
  </si>
  <si>
    <t>ahora</t>
  </si>
  <si>
    <t>Valores propuestos</t>
  </si>
  <si>
    <t>indicefeb07</t>
  </si>
  <si>
    <t>Códigos para propuesta 24 feb/06</t>
  </si>
  <si>
    <t>cod17feb07</t>
  </si>
  <si>
    <t>cod38feb07</t>
  </si>
  <si>
    <t>cod06feb07</t>
  </si>
  <si>
    <t>proljorfeb07</t>
  </si>
  <si>
    <t>cod 022feb07</t>
  </si>
  <si>
    <t>salminimofeb07</t>
  </si>
  <si>
    <t>Min jor simple</t>
  </si>
  <si>
    <t>salminjorcom</t>
  </si>
  <si>
    <t>Códigos nivel medio prop 8 feb/07</t>
  </si>
  <si>
    <t>cod38medfeb07</t>
  </si>
  <si>
    <t>cod22medfeb07</t>
  </si>
  <si>
    <t>cod06medfeb07</t>
  </si>
  <si>
    <t>cod17medfeb07</t>
  </si>
  <si>
    <t>Códigos nivel Superior 24 feb/06</t>
  </si>
  <si>
    <t>cod38supfeb07</t>
  </si>
  <si>
    <t>cod22supfeb07</t>
  </si>
  <si>
    <t>cod06supfeb07</t>
  </si>
  <si>
    <t>cod17supfeb07</t>
  </si>
  <si>
    <t>Hoja de cálculo  para evaluar la incidencia de la</t>
  </si>
  <si>
    <t>sobre los haberes de los jubilados docentes</t>
  </si>
  <si>
    <t>a</t>
  </si>
  <si>
    <t>b</t>
  </si>
  <si>
    <t>c</t>
  </si>
  <si>
    <t>d</t>
  </si>
  <si>
    <t>e</t>
  </si>
  <si>
    <t>f  J C</t>
  </si>
  <si>
    <t>&lt;= 1400</t>
  </si>
  <si>
    <t>1400&lt;pi&lt;1942</t>
  </si>
  <si>
    <t>1942&lt;pi&lt;2200</t>
  </si>
  <si>
    <t>2200&lt;pi&lt;2500</t>
  </si>
  <si>
    <t>pi&gt;2500</t>
  </si>
  <si>
    <t>pijc&gt;=620</t>
  </si>
  <si>
    <t>www.celestecompromiso.com.ar</t>
  </si>
  <si>
    <r>
      <t>Si encuentran errores, por favor avísenme.</t>
    </r>
    <r>
      <rPr>
        <sz val="11"/>
        <color indexed="17"/>
        <rFont val="Arial"/>
        <family val="2"/>
      </rPr>
      <t>victorhutt@victorhutt.com.ar</t>
    </r>
  </si>
  <si>
    <t>victorhutt@victorhutt.com.ar</t>
  </si>
  <si>
    <t>valor cod 38 viejo</t>
  </si>
  <si>
    <t>cod 38 viejo</t>
  </si>
  <si>
    <t>Salario junio 2007</t>
  </si>
  <si>
    <t>Simulador para calcular el sueldo de un jubilado que se desempeñó en varios cargos</t>
  </si>
  <si>
    <t>&lt;= 1169</t>
  </si>
  <si>
    <t>Jubilado - CARGOS - primer cargo</t>
  </si>
  <si>
    <r>
      <t xml:space="preserve">Dto. 2506 y 2237 </t>
    </r>
    <r>
      <rPr>
        <sz val="9"/>
        <rFont val="Arial"/>
        <family val="2"/>
      </rPr>
      <t>(038 act)</t>
    </r>
  </si>
  <si>
    <t>blanqueo cod 017</t>
  </si>
  <si>
    <t>remunerativo del 017</t>
  </si>
  <si>
    <t>Retr. Cuota 1 de 18</t>
  </si>
  <si>
    <t>No se liquida más</t>
  </si>
  <si>
    <t>Jubilado - CARGOS segundo cargo</t>
  </si>
  <si>
    <t>Jubilado - CARGOS - tercer cargo</t>
  </si>
  <si>
    <t>Jubilado - CARGOS - cuarto cargo</t>
  </si>
  <si>
    <t>Recibo final</t>
  </si>
  <si>
    <t>Control 120 meses:</t>
  </si>
  <si>
    <t>Deben sumar 120 meses</t>
  </si>
  <si>
    <t>indiceago07</t>
  </si>
  <si>
    <t>proljorago07</t>
  </si>
  <si>
    <t>cod06medago07</t>
  </si>
  <si>
    <t>cod06supago07</t>
  </si>
  <si>
    <t>Salario agosto 2007</t>
  </si>
  <si>
    <t>cod06ago07</t>
  </si>
  <si>
    <t>Aumento</t>
  </si>
  <si>
    <t>Porcentual</t>
  </si>
  <si>
    <t>aumento de agosto de 2007</t>
  </si>
  <si>
    <t>Está hecho en base a los valores del aumento de agosto de 2.007.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</si>
</sst>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%"/>
    <numFmt numFmtId="173" formatCode="&quot;$&quot;#,##0.00;\-&quot;$&quot;#,##0.00"/>
    <numFmt numFmtId="174" formatCode="0.000"/>
    <numFmt numFmtId="175" formatCode="#,##0.00\ _€"/>
    <numFmt numFmtId="176" formatCode="0.0"/>
    <numFmt numFmtId="177" formatCode="0.000000"/>
    <numFmt numFmtId="178" formatCode="0.00000"/>
    <numFmt numFmtId="179" formatCode="0.0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#,##0\ &quot;€&quot;"/>
    <numFmt numFmtId="184" formatCode="[$$-2C0A]\ #,##0"/>
  </numFmts>
  <fonts count="63">
    <font>
      <sz val="10"/>
      <name val="Arial"/>
      <family val="0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4"/>
      <name val="Arial"/>
      <family val="2"/>
    </font>
    <font>
      <b/>
      <u val="single"/>
      <sz val="10"/>
      <name val="Arial"/>
      <family val="2"/>
    </font>
    <font>
      <b/>
      <u val="single"/>
      <sz val="12"/>
      <color indexed="12"/>
      <name val="Arial"/>
      <family val="2"/>
    </font>
    <font>
      <b/>
      <sz val="16"/>
      <color indexed="10"/>
      <name val="Arial"/>
      <family val="2"/>
    </font>
    <font>
      <b/>
      <sz val="18"/>
      <color indexed="13"/>
      <name val="Arial"/>
      <family val="2"/>
    </font>
    <font>
      <b/>
      <sz val="18"/>
      <color indexed="9"/>
      <name val="Arial"/>
      <family val="2"/>
    </font>
    <font>
      <b/>
      <sz val="16"/>
      <color indexed="20"/>
      <name val="Arial"/>
      <family val="2"/>
    </font>
    <font>
      <b/>
      <u val="single"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53"/>
      <name val="Arial"/>
      <family val="2"/>
    </font>
    <font>
      <sz val="11"/>
      <color indexed="17"/>
      <name val="Arial"/>
      <family val="2"/>
    </font>
    <font>
      <sz val="10"/>
      <color indexed="8"/>
      <name val="Arial"/>
      <family val="2"/>
    </font>
    <font>
      <b/>
      <u val="single"/>
      <sz val="16"/>
      <color indexed="18"/>
      <name val="Arial"/>
      <family val="2"/>
    </font>
    <font>
      <b/>
      <u val="single"/>
      <sz val="12"/>
      <color indexed="18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u val="single"/>
      <sz val="10"/>
      <color indexed="18"/>
      <name val="Arial"/>
      <family val="2"/>
    </font>
    <font>
      <b/>
      <sz val="14"/>
      <color indexed="53"/>
      <name val="Arial"/>
      <family val="2"/>
    </font>
    <font>
      <b/>
      <u val="single"/>
      <sz val="14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trike/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12"/>
      <color indexed="18"/>
      <name val="Arial"/>
      <family val="2"/>
    </font>
    <font>
      <sz val="10"/>
      <color indexed="55"/>
      <name val="Arial"/>
      <family val="0"/>
    </font>
    <font>
      <b/>
      <sz val="12"/>
      <color indexed="58"/>
      <name val="Arial"/>
      <family val="2"/>
    </font>
    <font>
      <u val="single"/>
      <sz val="12"/>
      <color indexed="18"/>
      <name val="Arial"/>
      <family val="2"/>
    </font>
    <font>
      <sz val="12"/>
      <color indexed="18"/>
      <name val="Arial"/>
      <family val="2"/>
    </font>
    <font>
      <u val="single"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1"/>
      <color indexed="12"/>
      <name val="Arial"/>
      <family val="2"/>
    </font>
    <font>
      <b/>
      <sz val="14"/>
      <color indexed="10"/>
      <name val="Arial"/>
      <family val="2"/>
    </font>
    <font>
      <b/>
      <u val="single"/>
      <sz val="18"/>
      <color indexed="12"/>
      <name val="Arial"/>
      <family val="2"/>
    </font>
    <font>
      <sz val="16"/>
      <color indexed="10"/>
      <name val="Arial"/>
      <family val="2"/>
    </font>
    <font>
      <b/>
      <u val="single"/>
      <sz val="16"/>
      <color indexed="10"/>
      <name val="Arial"/>
      <family val="2"/>
    </font>
    <font>
      <sz val="10"/>
      <color indexed="18"/>
      <name val="Arial"/>
      <family val="2"/>
    </font>
    <font>
      <u val="single"/>
      <sz val="10"/>
      <color indexed="18"/>
      <name val="Arial"/>
      <family val="2"/>
    </font>
    <font>
      <b/>
      <sz val="14"/>
      <color indexed="9"/>
      <name val="Arial"/>
      <family val="2"/>
    </font>
    <font>
      <sz val="14"/>
      <color indexed="12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</fills>
  <borders count="46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>
        <color indexed="39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11"/>
      </bottom>
    </border>
    <border>
      <left style="thick">
        <color indexed="39"/>
      </left>
      <right>
        <color indexed="63"/>
      </right>
      <top style="thick">
        <color indexed="39"/>
      </top>
      <bottom>
        <color indexed="63"/>
      </bottom>
    </border>
    <border>
      <left>
        <color indexed="63"/>
      </left>
      <right>
        <color indexed="63"/>
      </right>
      <top style="thick">
        <color indexed="39"/>
      </top>
      <bottom>
        <color indexed="63"/>
      </bottom>
    </border>
    <border>
      <left>
        <color indexed="63"/>
      </left>
      <right style="thick">
        <color indexed="39"/>
      </right>
      <top style="thick">
        <color indexed="39"/>
      </top>
      <bottom>
        <color indexed="63"/>
      </bottom>
    </border>
    <border>
      <left style="thick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ck">
        <color indexed="52"/>
      </left>
      <right style="thick">
        <color indexed="51"/>
      </right>
      <top style="thick">
        <color indexed="52"/>
      </top>
      <bottom style="thick">
        <color indexed="52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ck">
        <color indexed="17"/>
      </top>
      <bottom style="thick">
        <color indexed="17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ck">
        <color indexed="51"/>
      </left>
      <right style="thick">
        <color indexed="52"/>
      </right>
      <top style="thick">
        <color indexed="52"/>
      </top>
      <bottom style="thick">
        <color indexed="52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>
        <color indexed="39"/>
      </right>
      <top>
        <color indexed="63"/>
      </top>
      <bottom style="thick">
        <color indexed="39"/>
      </bottom>
    </border>
    <border>
      <left style="thick">
        <color indexed="39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NumberFormat="1" applyBorder="1" applyAlignment="1" applyProtection="1">
      <alignment/>
      <protection/>
    </xf>
    <xf numFmtId="2" fontId="0" fillId="0" borderId="0" xfId="0" applyNumberFormat="1" applyBorder="1" applyAlignment="1" applyProtection="1">
      <alignment horizontal="right"/>
      <protection/>
    </xf>
    <xf numFmtId="2" fontId="2" fillId="0" borderId="0" xfId="0" applyNumberFormat="1" applyFont="1" applyBorder="1" applyAlignment="1" applyProtection="1">
      <alignment horizontal="left"/>
      <protection/>
    </xf>
    <xf numFmtId="2" fontId="3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1" fillId="0" borderId="1" xfId="0" applyFon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2" xfId="0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/>
      <protection/>
    </xf>
    <xf numFmtId="2" fontId="0" fillId="0" borderId="2" xfId="0" applyNumberFormat="1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30" fillId="0" borderId="0" xfId="0" applyFont="1" applyBorder="1" applyAlignment="1" applyProtection="1">
      <alignment horizontal="right"/>
      <protection hidden="1"/>
    </xf>
    <xf numFmtId="0" fontId="25" fillId="2" borderId="3" xfId="0" applyFont="1" applyFill="1" applyBorder="1" applyAlignment="1" applyProtection="1">
      <alignment/>
      <protection hidden="1"/>
    </xf>
    <xf numFmtId="0" fontId="2" fillId="0" borderId="4" xfId="0" applyFont="1" applyBorder="1" applyAlignment="1" applyProtection="1">
      <alignment/>
      <protection hidden="1"/>
    </xf>
    <xf numFmtId="0" fontId="2" fillId="0" borderId="5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173" fontId="2" fillId="0" borderId="0" xfId="0" applyNumberFormat="1" applyFont="1" applyAlignment="1" applyProtection="1">
      <alignment/>
      <protection hidden="1"/>
    </xf>
    <xf numFmtId="0" fontId="2" fillId="0" borderId="6" xfId="0" applyFont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31" fillId="0" borderId="2" xfId="0" applyFont="1" applyBorder="1" applyAlignment="1" applyProtection="1">
      <alignment/>
      <protection hidden="1"/>
    </xf>
    <xf numFmtId="173" fontId="0" fillId="0" borderId="7" xfId="0" applyNumberFormat="1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33" fillId="0" borderId="2" xfId="0" applyFont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31" fillId="2" borderId="2" xfId="0" applyFont="1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0" fontId="23" fillId="0" borderId="2" xfId="0" applyFont="1" applyBorder="1" applyAlignment="1" applyProtection="1">
      <alignment/>
      <protection hidden="1"/>
    </xf>
    <xf numFmtId="0" fontId="32" fillId="0" borderId="2" xfId="0" applyFont="1" applyBorder="1" applyAlignment="1" applyProtection="1">
      <alignment/>
      <protection hidden="1"/>
    </xf>
    <xf numFmtId="0" fontId="23" fillId="0" borderId="8" xfId="0" applyFont="1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0" fontId="30" fillId="0" borderId="2" xfId="0" applyFont="1" applyBorder="1" applyAlignment="1" applyProtection="1">
      <alignment/>
      <protection hidden="1"/>
    </xf>
    <xf numFmtId="0" fontId="2" fillId="0" borderId="8" xfId="0" applyFont="1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3" borderId="11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right"/>
      <protection/>
    </xf>
    <xf numFmtId="2" fontId="5" fillId="0" borderId="0" xfId="0" applyNumberFormat="1" applyFont="1" applyFill="1" applyBorder="1" applyAlignment="1" applyProtection="1">
      <alignment/>
      <protection/>
    </xf>
    <xf numFmtId="2" fontId="0" fillId="4" borderId="0" xfId="0" applyNumberFormat="1" applyFill="1" applyBorder="1" applyAlignment="1" applyProtection="1">
      <alignment/>
      <protection/>
    </xf>
    <xf numFmtId="0" fontId="1" fillId="5" borderId="0" xfId="0" applyFont="1" applyFill="1" applyAlignment="1" applyProtection="1">
      <alignment horizontal="left"/>
      <protection/>
    </xf>
    <xf numFmtId="0" fontId="1" fillId="6" borderId="0" xfId="0" applyFont="1" applyFill="1" applyAlignment="1" applyProtection="1">
      <alignment horizontal="left"/>
      <protection/>
    </xf>
    <xf numFmtId="175" fontId="23" fillId="0" borderId="4" xfId="19" applyNumberFormat="1" applyFont="1" applyBorder="1" applyAlignment="1" applyProtection="1">
      <alignment horizontal="right"/>
      <protection locked="0"/>
    </xf>
    <xf numFmtId="0" fontId="0" fillId="4" borderId="0" xfId="0" applyFill="1" applyBorder="1" applyAlignment="1" applyProtection="1">
      <alignment/>
      <protection/>
    </xf>
    <xf numFmtId="0" fontId="36" fillId="4" borderId="0" xfId="0" applyFont="1" applyFill="1" applyBorder="1" applyAlignment="1" applyProtection="1">
      <alignment/>
      <protection/>
    </xf>
    <xf numFmtId="0" fontId="36" fillId="4" borderId="12" xfId="0" applyFont="1" applyFill="1" applyBorder="1" applyAlignment="1" applyProtection="1">
      <alignment/>
      <protection/>
    </xf>
    <xf numFmtId="0" fontId="29" fillId="7" borderId="13" xfId="15" applyFont="1" applyFill="1" applyBorder="1" applyAlignment="1" applyProtection="1">
      <alignment/>
      <protection/>
    </xf>
    <xf numFmtId="0" fontId="38" fillId="2" borderId="3" xfId="0" applyFont="1" applyFill="1" applyBorder="1" applyAlignment="1" applyProtection="1">
      <alignment/>
      <protection/>
    </xf>
    <xf numFmtId="0" fontId="0" fillId="7" borderId="14" xfId="0" applyFill="1" applyBorder="1" applyAlignment="1" applyProtection="1">
      <alignment/>
      <protection/>
    </xf>
    <xf numFmtId="0" fontId="29" fillId="7" borderId="15" xfId="15" applyFont="1" applyFill="1" applyBorder="1" applyAlignment="1" applyProtection="1">
      <alignment/>
      <protection/>
    </xf>
    <xf numFmtId="0" fontId="0" fillId="7" borderId="16" xfId="0" applyFill="1" applyBorder="1" applyAlignment="1" applyProtection="1">
      <alignment/>
      <protection/>
    </xf>
    <xf numFmtId="0" fontId="39" fillId="7" borderId="17" xfId="15" applyFont="1" applyFill="1" applyBorder="1" applyAlignment="1" applyProtection="1">
      <alignment/>
      <protection/>
    </xf>
    <xf numFmtId="0" fontId="0" fillId="7" borderId="18" xfId="0" applyFill="1" applyBorder="1" applyAlignment="1" applyProtection="1">
      <alignment/>
      <protection/>
    </xf>
    <xf numFmtId="0" fontId="7" fillId="0" borderId="0" xfId="15" applyFont="1" applyFill="1" applyBorder="1" applyAlignment="1" applyProtection="1">
      <alignment/>
      <protection/>
    </xf>
    <xf numFmtId="0" fontId="0" fillId="8" borderId="0" xfId="0" applyFill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9" fillId="6" borderId="0" xfId="0" applyFont="1" applyFill="1" applyBorder="1" applyAlignment="1" applyProtection="1">
      <alignment/>
      <protection/>
    </xf>
    <xf numFmtId="0" fontId="10" fillId="6" borderId="21" xfId="0" applyFont="1" applyFill="1" applyBorder="1" applyAlignment="1" applyProtection="1">
      <alignment/>
      <protection/>
    </xf>
    <xf numFmtId="0" fontId="11" fillId="2" borderId="0" xfId="0" applyFont="1" applyFill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12" fillId="8" borderId="0" xfId="0" applyFont="1" applyFill="1" applyBorder="1" applyAlignment="1" applyProtection="1">
      <alignment/>
      <protection/>
    </xf>
    <xf numFmtId="0" fontId="0" fillId="8" borderId="0" xfId="0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7" fillId="0" borderId="0" xfId="15" applyFont="1" applyFill="1" applyAlignment="1" applyProtection="1">
      <alignment/>
      <protection/>
    </xf>
    <xf numFmtId="0" fontId="36" fillId="4" borderId="22" xfId="0" applyFont="1" applyFill="1" applyBorder="1" applyAlignment="1" applyProtection="1">
      <alignment/>
      <protection/>
    </xf>
    <xf numFmtId="0" fontId="36" fillId="4" borderId="23" xfId="0" applyFont="1" applyFill="1" applyBorder="1" applyAlignment="1" applyProtection="1">
      <alignment/>
      <protection/>
    </xf>
    <xf numFmtId="0" fontId="36" fillId="4" borderId="24" xfId="0" applyFont="1" applyFill="1" applyBorder="1" applyAlignment="1" applyProtection="1">
      <alignment/>
      <protection/>
    </xf>
    <xf numFmtId="0" fontId="36" fillId="4" borderId="25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2" fontId="18" fillId="0" borderId="2" xfId="0" applyNumberFormat="1" applyFont="1" applyFill="1" applyBorder="1" applyAlignment="1" applyProtection="1">
      <alignment horizontal="right"/>
      <protection/>
    </xf>
    <xf numFmtId="2" fontId="18" fillId="0" borderId="0" xfId="0" applyNumberFormat="1" applyFont="1" applyFill="1" applyBorder="1" applyAlignment="1" applyProtection="1">
      <alignment horizontal="right"/>
      <protection/>
    </xf>
    <xf numFmtId="0" fontId="37" fillId="4" borderId="25" xfId="15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30" fillId="0" borderId="26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0" fontId="3" fillId="3" borderId="19" xfId="0" applyFont="1" applyFill="1" applyBorder="1" applyAlignment="1" applyProtection="1">
      <alignment/>
      <protection/>
    </xf>
    <xf numFmtId="2" fontId="26" fillId="7" borderId="11" xfId="0" applyNumberFormat="1" applyFont="1" applyFill="1" applyBorder="1" applyAlignment="1" applyProtection="1">
      <alignment horizontal="left"/>
      <protection/>
    </xf>
    <xf numFmtId="0" fontId="0" fillId="0" borderId="19" xfId="0" applyBorder="1" applyAlignment="1" applyProtection="1">
      <alignment/>
      <protection/>
    </xf>
    <xf numFmtId="2" fontId="3" fillId="0" borderId="1" xfId="0" applyNumberFormat="1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9" fontId="0" fillId="0" borderId="0" xfId="21" applyAlignment="1" applyProtection="1">
      <alignment/>
      <protection/>
    </xf>
    <xf numFmtId="0" fontId="22" fillId="0" borderId="28" xfId="0" applyFont="1" applyBorder="1" applyAlignment="1" applyProtection="1">
      <alignment/>
      <protection/>
    </xf>
    <xf numFmtId="1" fontId="22" fillId="0" borderId="28" xfId="0" applyNumberFormat="1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2" fontId="0" fillId="0" borderId="2" xfId="0" applyNumberFormat="1" applyBorder="1" applyAlignment="1" applyProtection="1">
      <alignment horizontal="left"/>
      <protection/>
    </xf>
    <xf numFmtId="0" fontId="31" fillId="0" borderId="2" xfId="0" applyFon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2" fontId="3" fillId="0" borderId="20" xfId="0" applyNumberFormat="1" applyFont="1" applyBorder="1" applyAlignment="1" applyProtection="1">
      <alignment horizontal="center"/>
      <protection/>
    </xf>
    <xf numFmtId="9" fontId="0" fillId="0" borderId="6" xfId="0" applyNumberFormat="1" applyBorder="1" applyAlignment="1" applyProtection="1">
      <alignment/>
      <protection/>
    </xf>
    <xf numFmtId="2" fontId="0" fillId="0" borderId="6" xfId="0" applyNumberFormat="1" applyBorder="1" applyAlignment="1" applyProtection="1">
      <alignment horizontal="right"/>
      <protection/>
    </xf>
    <xf numFmtId="0" fontId="0" fillId="0" borderId="2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2" fontId="2" fillId="0" borderId="5" xfId="0" applyNumberFormat="1" applyFont="1" applyBorder="1" applyAlignment="1" applyProtection="1">
      <alignment horizontal="left"/>
      <protection/>
    </xf>
    <xf numFmtId="0" fontId="0" fillId="0" borderId="7" xfId="0" applyBorder="1" applyAlignment="1" applyProtection="1">
      <alignment horizontal="right"/>
      <protection/>
    </xf>
    <xf numFmtId="172" fontId="2" fillId="0" borderId="19" xfId="0" applyNumberFormat="1" applyFont="1" applyBorder="1" applyAlignment="1" applyProtection="1">
      <alignment/>
      <protection/>
    </xf>
    <xf numFmtId="2" fontId="35" fillId="0" borderId="20" xfId="0" applyNumberFormat="1" applyFont="1" applyBorder="1" applyAlignment="1" applyProtection="1">
      <alignment horizontal="center"/>
      <protection/>
    </xf>
    <xf numFmtId="0" fontId="0" fillId="4" borderId="0" xfId="0" applyFill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27" fillId="0" borderId="19" xfId="0" applyFont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9" fontId="2" fillId="0" borderId="0" xfId="0" applyNumberFormat="1" applyFont="1" applyFill="1" applyBorder="1" applyAlignment="1" applyProtection="1">
      <alignment/>
      <protection/>
    </xf>
    <xf numFmtId="2" fontId="0" fillId="0" borderId="29" xfId="0" applyNumberFormat="1" applyBorder="1" applyAlignment="1" applyProtection="1">
      <alignment horizontal="left"/>
      <protection/>
    </xf>
    <xf numFmtId="2" fontId="2" fillId="0" borderId="20" xfId="0" applyNumberFormat="1" applyFont="1" applyBorder="1" applyAlignment="1" applyProtection="1">
      <alignment/>
      <protection/>
    </xf>
    <xf numFmtId="2" fontId="0" fillId="0" borderId="0" xfId="0" applyNumberFormat="1" applyAlignment="1" applyProtection="1">
      <alignment horizontal="right"/>
      <protection/>
    </xf>
    <xf numFmtId="2" fontId="2" fillId="0" borderId="20" xfId="0" applyNumberFormat="1" applyFont="1" applyBorder="1" applyAlignment="1" applyProtection="1">
      <alignment horizontal="right"/>
      <protection/>
    </xf>
    <xf numFmtId="2" fontId="25" fillId="0" borderId="20" xfId="0" applyNumberFormat="1" applyFont="1" applyBorder="1" applyAlignment="1" applyProtection="1">
      <alignment horizontal="right"/>
      <protection/>
    </xf>
    <xf numFmtId="2" fontId="22" fillId="0" borderId="28" xfId="0" applyNumberFormat="1" applyFont="1" applyBorder="1" applyAlignment="1" applyProtection="1">
      <alignment/>
      <protection/>
    </xf>
    <xf numFmtId="0" fontId="21" fillId="0" borderId="2" xfId="0" applyFont="1" applyBorder="1" applyAlignment="1" applyProtection="1">
      <alignment/>
      <protection locked="0"/>
    </xf>
    <xf numFmtId="2" fontId="23" fillId="0" borderId="4" xfId="0" applyNumberFormat="1" applyFont="1" applyBorder="1" applyAlignment="1" applyProtection="1">
      <alignment horizontal="left"/>
      <protection locked="0"/>
    </xf>
    <xf numFmtId="0" fontId="23" fillId="0" borderId="2" xfId="0" applyFont="1" applyFill="1" applyBorder="1" applyAlignment="1" applyProtection="1">
      <alignment/>
      <protection locked="0"/>
    </xf>
    <xf numFmtId="9" fontId="21" fillId="0" borderId="30" xfId="0" applyNumberFormat="1" applyFont="1" applyBorder="1" applyAlignment="1" applyProtection="1">
      <alignment horizontal="center"/>
      <protection locked="0"/>
    </xf>
    <xf numFmtId="0" fontId="2" fillId="9" borderId="31" xfId="0" applyFont="1" applyFill="1" applyBorder="1" applyAlignment="1" applyProtection="1">
      <alignment/>
      <protection/>
    </xf>
    <xf numFmtId="0" fontId="2" fillId="3" borderId="32" xfId="0" applyFont="1" applyFill="1" applyBorder="1" applyAlignment="1" applyProtection="1">
      <alignment/>
      <protection/>
    </xf>
    <xf numFmtId="0" fontId="0" fillId="3" borderId="33" xfId="0" applyFill="1" applyBorder="1" applyAlignment="1" applyProtection="1">
      <alignment/>
      <protection/>
    </xf>
    <xf numFmtId="0" fontId="32" fillId="3" borderId="0" xfId="0" applyFont="1" applyFill="1" applyAlignment="1" applyProtection="1">
      <alignment/>
      <protection/>
    </xf>
    <xf numFmtId="0" fontId="23" fillId="8" borderId="0" xfId="0" applyFont="1" applyFill="1" applyAlignment="1" applyProtection="1">
      <alignment/>
      <protection/>
    </xf>
    <xf numFmtId="0" fontId="32" fillId="3" borderId="19" xfId="0" applyFont="1" applyFill="1" applyBorder="1" applyAlignment="1" applyProtection="1">
      <alignment/>
      <protection/>
    </xf>
    <xf numFmtId="0" fontId="32" fillId="3" borderId="3" xfId="0" applyFont="1" applyFill="1" applyBorder="1" applyAlignment="1" applyProtection="1">
      <alignment/>
      <protection/>
    </xf>
    <xf numFmtId="0" fontId="23" fillId="8" borderId="20" xfId="0" applyFont="1" applyFill="1" applyBorder="1" applyAlignment="1" applyProtection="1">
      <alignment/>
      <protection/>
    </xf>
    <xf numFmtId="9" fontId="25" fillId="10" borderId="34" xfId="21" applyFont="1" applyFill="1" applyBorder="1" applyAlignment="1" applyProtection="1">
      <alignment/>
      <protection/>
    </xf>
    <xf numFmtId="0" fontId="42" fillId="10" borderId="35" xfId="0" applyFont="1" applyFill="1" applyBorder="1" applyAlignment="1" applyProtection="1">
      <alignment/>
      <protection/>
    </xf>
    <xf numFmtId="0" fontId="25" fillId="10" borderId="35" xfId="0" applyFont="1" applyFill="1" applyBorder="1" applyAlignment="1" applyProtection="1">
      <alignment/>
      <protection/>
    </xf>
    <xf numFmtId="9" fontId="25" fillId="10" borderId="8" xfId="21" applyFont="1" applyFill="1" applyBorder="1" applyAlignment="1" applyProtection="1">
      <alignment/>
      <protection/>
    </xf>
    <xf numFmtId="0" fontId="42" fillId="10" borderId="36" xfId="0" applyFont="1" applyFill="1" applyBorder="1" applyAlignment="1" applyProtection="1">
      <alignment/>
      <protection/>
    </xf>
    <xf numFmtId="9" fontId="25" fillId="7" borderId="8" xfId="21" applyFont="1" applyFill="1" applyBorder="1" applyAlignment="1" applyProtection="1">
      <alignment/>
      <protection/>
    </xf>
    <xf numFmtId="0" fontId="42" fillId="7" borderId="36" xfId="0" applyFont="1" applyFill="1" applyBorder="1" applyAlignment="1" applyProtection="1">
      <alignment/>
      <protection/>
    </xf>
    <xf numFmtId="9" fontId="25" fillId="7" borderId="9" xfId="21" applyFont="1" applyFill="1" applyBorder="1" applyAlignment="1" applyProtection="1">
      <alignment/>
      <protection/>
    </xf>
    <xf numFmtId="0" fontId="42" fillId="7" borderId="37" xfId="0" applyFont="1" applyFill="1" applyBorder="1" applyAlignment="1" applyProtection="1">
      <alignment/>
      <protection/>
    </xf>
    <xf numFmtId="0" fontId="25" fillId="7" borderId="35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4" borderId="0" xfId="0" applyFont="1" applyFill="1" applyBorder="1" applyAlignment="1" applyProtection="1">
      <alignment/>
      <protection/>
    </xf>
    <xf numFmtId="9" fontId="21" fillId="0" borderId="0" xfId="0" applyNumberFormat="1" applyFont="1" applyFill="1" applyBorder="1" applyAlignment="1" applyProtection="1">
      <alignment/>
      <protection locked="0"/>
    </xf>
    <xf numFmtId="9" fontId="21" fillId="4" borderId="0" xfId="0" applyNumberFormat="1" applyFont="1" applyFill="1" applyBorder="1" applyAlignment="1" applyProtection="1">
      <alignment/>
      <protection locked="0"/>
    </xf>
    <xf numFmtId="0" fontId="21" fillId="3" borderId="38" xfId="0" applyFont="1" applyFill="1" applyBorder="1" applyAlignment="1" applyProtection="1">
      <alignment/>
      <protection locked="0"/>
    </xf>
    <xf numFmtId="0" fontId="2" fillId="5" borderId="39" xfId="0" applyFont="1" applyFill="1" applyBorder="1" applyAlignment="1" applyProtection="1">
      <alignment horizontal="right"/>
      <protection/>
    </xf>
    <xf numFmtId="0" fontId="2" fillId="5" borderId="40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9" fontId="21" fillId="0" borderId="30" xfId="21" applyFont="1" applyBorder="1" applyAlignment="1" applyProtection="1">
      <alignment horizontal="center"/>
      <protection locked="0"/>
    </xf>
    <xf numFmtId="9" fontId="23" fillId="8" borderId="41" xfId="0" applyNumberFormat="1" applyFont="1" applyFill="1" applyBorder="1" applyAlignment="1" applyProtection="1">
      <alignment/>
      <protection locked="0"/>
    </xf>
    <xf numFmtId="0" fontId="23" fillId="11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3" fillId="11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5" fillId="11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3" borderId="0" xfId="0" applyFont="1" applyFill="1" applyAlignment="1" applyProtection="1">
      <alignment/>
      <protection/>
    </xf>
    <xf numFmtId="0" fontId="2" fillId="12" borderId="0" xfId="0" applyFont="1" applyFill="1" applyAlignment="1" applyProtection="1">
      <alignment/>
      <protection/>
    </xf>
    <xf numFmtId="0" fontId="21" fillId="0" borderId="0" xfId="0" applyFont="1" applyAlignment="1" applyProtection="1">
      <alignment horizontal="right"/>
      <protection/>
    </xf>
    <xf numFmtId="2" fontId="0" fillId="0" borderId="19" xfId="0" applyNumberFormat="1" applyBorder="1" applyAlignment="1" applyProtection="1">
      <alignment/>
      <protection/>
    </xf>
    <xf numFmtId="0" fontId="35" fillId="4" borderId="2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2" fontId="0" fillId="0" borderId="15" xfId="0" applyNumberForma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4" borderId="16" xfId="0" applyFont="1" applyFill="1" applyBorder="1" applyAlignment="1" applyProtection="1">
      <alignment/>
      <protection/>
    </xf>
    <xf numFmtId="2" fontId="0" fillId="0" borderId="15" xfId="0" applyNumberFormat="1" applyFill="1" applyBorder="1" applyAlignment="1" applyProtection="1">
      <alignment/>
      <protection/>
    </xf>
    <xf numFmtId="0" fontId="35" fillId="4" borderId="16" xfId="0" applyFont="1" applyFill="1" applyBorder="1" applyAlignment="1" applyProtection="1">
      <alignment/>
      <protection/>
    </xf>
    <xf numFmtId="2" fontId="0" fillId="0" borderId="17" xfId="0" applyNumberForma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8" fillId="2" borderId="0" xfId="0" applyFont="1" applyFill="1" applyAlignment="1" applyProtection="1">
      <alignment horizontal="left"/>
      <protection/>
    </xf>
    <xf numFmtId="0" fontId="39" fillId="2" borderId="0" xfId="0" applyFont="1" applyFill="1" applyAlignment="1" applyProtection="1">
      <alignment horizontal="left"/>
      <protection/>
    </xf>
    <xf numFmtId="0" fontId="39" fillId="13" borderId="0" xfId="0" applyFont="1" applyFill="1" applyAlignment="1" applyProtection="1">
      <alignment horizontal="left"/>
      <protection/>
    </xf>
    <xf numFmtId="0" fontId="28" fillId="13" borderId="0" xfId="0" applyFont="1" applyFill="1" applyAlignment="1" applyProtection="1">
      <alignment horizontal="left"/>
      <protection/>
    </xf>
    <xf numFmtId="0" fontId="28" fillId="3" borderId="0" xfId="0" applyFont="1" applyFill="1" applyAlignment="1" applyProtection="1">
      <alignment horizontal="left"/>
      <protection/>
    </xf>
    <xf numFmtId="0" fontId="21" fillId="11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23" fillId="7" borderId="0" xfId="0" applyFont="1" applyFill="1" applyAlignment="1" applyProtection="1">
      <alignment/>
      <protection/>
    </xf>
    <xf numFmtId="0" fontId="23" fillId="14" borderId="0" xfId="0" applyFont="1" applyFill="1" applyAlignment="1" applyProtection="1">
      <alignment/>
      <protection/>
    </xf>
    <xf numFmtId="0" fontId="23" fillId="15" borderId="0" xfId="0" applyFont="1" applyFill="1" applyAlignment="1" applyProtection="1">
      <alignment/>
      <protection/>
    </xf>
    <xf numFmtId="0" fontId="44" fillId="0" borderId="2" xfId="0" applyFont="1" applyBorder="1" applyAlignment="1" applyProtection="1">
      <alignment/>
      <protection/>
    </xf>
    <xf numFmtId="0" fontId="3" fillId="0" borderId="2" xfId="0" applyFont="1" applyFill="1" applyBorder="1" applyAlignment="1" applyProtection="1">
      <alignment/>
      <protection/>
    </xf>
    <xf numFmtId="0" fontId="23" fillId="3" borderId="0" xfId="0" applyFont="1" applyFill="1" applyAlignment="1" applyProtection="1">
      <alignment/>
      <protection/>
    </xf>
    <xf numFmtId="0" fontId="23" fillId="12" borderId="0" xfId="0" applyFont="1" applyFill="1" applyAlignment="1" applyProtection="1">
      <alignment/>
      <protection/>
    </xf>
    <xf numFmtId="0" fontId="23" fillId="4" borderId="42" xfId="0" applyFont="1" applyFill="1" applyBorder="1" applyAlignment="1" applyProtection="1">
      <alignment/>
      <protection/>
    </xf>
    <xf numFmtId="0" fontId="25" fillId="4" borderId="42" xfId="0" applyFont="1" applyFill="1" applyBorder="1" applyAlignment="1" applyProtection="1">
      <alignment/>
      <protection/>
    </xf>
    <xf numFmtId="0" fontId="27" fillId="4" borderId="43" xfId="0" applyFont="1" applyFill="1" applyBorder="1" applyAlignment="1" applyProtection="1">
      <alignment/>
      <protection/>
    </xf>
    <xf numFmtId="0" fontId="7" fillId="4" borderId="44" xfId="15" applyFont="1" applyFill="1" applyBorder="1" applyAlignment="1" applyProtection="1">
      <alignment/>
      <protection/>
    </xf>
    <xf numFmtId="0" fontId="3" fillId="4" borderId="45" xfId="0" applyFont="1" applyFill="1" applyBorder="1" applyAlignment="1" applyProtection="1">
      <alignment/>
      <protection/>
    </xf>
    <xf numFmtId="0" fontId="3" fillId="4" borderId="43" xfId="0" applyFont="1" applyFill="1" applyBorder="1" applyAlignment="1" applyProtection="1">
      <alignment/>
      <protection/>
    </xf>
    <xf numFmtId="0" fontId="45" fillId="4" borderId="25" xfId="15" applyFont="1" applyFill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9" fillId="4" borderId="44" xfId="15" applyFont="1" applyFill="1" applyBorder="1" applyAlignment="1" applyProtection="1">
      <alignment/>
      <protection/>
    </xf>
    <xf numFmtId="0" fontId="50" fillId="4" borderId="45" xfId="0" applyFont="1" applyFill="1" applyBorder="1" applyAlignment="1" applyProtection="1">
      <alignment/>
      <protection/>
    </xf>
    <xf numFmtId="0" fontId="50" fillId="4" borderId="22" xfId="0" applyFont="1" applyFill="1" applyBorder="1" applyAlignment="1" applyProtection="1">
      <alignment/>
      <protection/>
    </xf>
    <xf numFmtId="0" fontId="50" fillId="4" borderId="23" xfId="0" applyFont="1" applyFill="1" applyBorder="1" applyAlignment="1" applyProtection="1">
      <alignment/>
      <protection/>
    </xf>
    <xf numFmtId="0" fontId="46" fillId="4" borderId="24" xfId="0" applyFont="1" applyFill="1" applyBorder="1" applyAlignment="1" applyProtection="1">
      <alignment/>
      <protection/>
    </xf>
    <xf numFmtId="0" fontId="50" fillId="4" borderId="25" xfId="0" applyFont="1" applyFill="1" applyBorder="1" applyAlignment="1" applyProtection="1">
      <alignment/>
      <protection/>
    </xf>
    <xf numFmtId="0" fontId="50" fillId="4" borderId="0" xfId="0" applyFont="1" applyFill="1" applyBorder="1" applyAlignment="1" applyProtection="1">
      <alignment/>
      <protection/>
    </xf>
    <xf numFmtId="0" fontId="46" fillId="4" borderId="12" xfId="0" applyFont="1" applyFill="1" applyBorder="1" applyAlignment="1" applyProtection="1">
      <alignment/>
      <protection/>
    </xf>
    <xf numFmtId="0" fontId="51" fillId="4" borderId="25" xfId="15" applyFont="1" applyFill="1" applyBorder="1" applyAlignment="1" applyProtection="1">
      <alignment/>
      <protection/>
    </xf>
    <xf numFmtId="0" fontId="49" fillId="4" borderId="25" xfId="15" applyFont="1" applyFill="1" applyBorder="1" applyAlignment="1" applyProtection="1">
      <alignment/>
      <protection/>
    </xf>
    <xf numFmtId="0" fontId="30" fillId="11" borderId="0" xfId="0" applyFont="1" applyFill="1" applyBorder="1" applyAlignment="1" applyProtection="1">
      <alignment/>
      <protection/>
    </xf>
    <xf numFmtId="0" fontId="2" fillId="11" borderId="0" xfId="0" applyFon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/>
    </xf>
    <xf numFmtId="0" fontId="0" fillId="11" borderId="0" xfId="0" applyFill="1" applyAlignment="1" applyProtection="1">
      <alignment/>
      <protection/>
    </xf>
    <xf numFmtId="2" fontId="0" fillId="11" borderId="0" xfId="0" applyNumberFormat="1" applyFill="1" applyAlignment="1" applyProtection="1">
      <alignment/>
      <protection/>
    </xf>
    <xf numFmtId="0" fontId="24" fillId="11" borderId="0" xfId="0" applyFont="1" applyFill="1" applyAlignment="1" applyProtection="1">
      <alignment/>
      <protection/>
    </xf>
    <xf numFmtId="0" fontId="0" fillId="11" borderId="0" xfId="0" applyFill="1" applyBorder="1" applyAlignment="1" applyProtection="1">
      <alignment horizontal="right"/>
      <protection/>
    </xf>
    <xf numFmtId="172" fontId="0" fillId="11" borderId="0" xfId="0" applyNumberFormat="1" applyFill="1" applyBorder="1" applyAlignment="1" applyProtection="1">
      <alignment/>
      <protection/>
    </xf>
    <xf numFmtId="2" fontId="18" fillId="11" borderId="0" xfId="0" applyNumberFormat="1" applyFont="1" applyFill="1" applyBorder="1" applyAlignment="1" applyProtection="1">
      <alignment horizontal="right"/>
      <protection/>
    </xf>
    <xf numFmtId="0" fontId="0" fillId="11" borderId="15" xfId="0" applyFill="1" applyBorder="1" applyAlignment="1" applyProtection="1">
      <alignment/>
      <protection/>
    </xf>
    <xf numFmtId="0" fontId="2" fillId="11" borderId="0" xfId="0" applyFont="1" applyFill="1" applyAlignment="1" applyProtection="1">
      <alignment/>
      <protection/>
    </xf>
    <xf numFmtId="172" fontId="23" fillId="11" borderId="0" xfId="0" applyNumberFormat="1" applyFont="1" applyFill="1" applyBorder="1" applyAlignment="1" applyProtection="1">
      <alignment horizontal="center"/>
      <protection/>
    </xf>
    <xf numFmtId="0" fontId="22" fillId="11" borderId="0" xfId="0" applyFont="1" applyFill="1" applyBorder="1" applyAlignment="1" applyProtection="1">
      <alignment/>
      <protection/>
    </xf>
    <xf numFmtId="0" fontId="5" fillId="11" borderId="0" xfId="0" applyFont="1" applyFill="1" applyBorder="1" applyAlignment="1" applyProtection="1">
      <alignment/>
      <protection/>
    </xf>
    <xf numFmtId="1" fontId="22" fillId="11" borderId="0" xfId="0" applyNumberFormat="1" applyFont="1" applyFill="1" applyBorder="1" applyAlignment="1" applyProtection="1">
      <alignment/>
      <protection/>
    </xf>
    <xf numFmtId="9" fontId="2" fillId="11" borderId="0" xfId="0" applyNumberFormat="1" applyFont="1" applyFill="1" applyBorder="1" applyAlignment="1" applyProtection="1">
      <alignment/>
      <protection/>
    </xf>
    <xf numFmtId="0" fontId="21" fillId="11" borderId="0" xfId="0" applyFont="1" applyFill="1" applyBorder="1" applyAlignment="1" applyProtection="1">
      <alignment horizontal="center"/>
      <protection/>
    </xf>
    <xf numFmtId="0" fontId="48" fillId="11" borderId="0" xfId="0" applyFont="1" applyFill="1" applyAlignment="1" applyProtection="1">
      <alignment/>
      <protection/>
    </xf>
    <xf numFmtId="0" fontId="21" fillId="11" borderId="0" xfId="0" applyFont="1" applyFill="1" applyBorder="1" applyAlignment="1" applyProtection="1">
      <alignment/>
      <protection locked="0"/>
    </xf>
    <xf numFmtId="0" fontId="20" fillId="11" borderId="0" xfId="0" applyFont="1" applyFill="1" applyBorder="1" applyAlignment="1" applyProtection="1">
      <alignment/>
      <protection/>
    </xf>
    <xf numFmtId="1" fontId="0" fillId="11" borderId="0" xfId="0" applyNumberFormat="1" applyFill="1" applyAlignment="1" applyProtection="1">
      <alignment/>
      <protection/>
    </xf>
    <xf numFmtId="172" fontId="26" fillId="11" borderId="0" xfId="0" applyNumberFormat="1" applyFont="1" applyFill="1" applyBorder="1" applyAlignment="1" applyProtection="1">
      <alignment/>
      <protection/>
    </xf>
    <xf numFmtId="10" fontId="26" fillId="11" borderId="0" xfId="21" applyNumberFormat="1" applyFont="1" applyFill="1" applyBorder="1" applyAlignment="1" applyProtection="1">
      <alignment horizontal="right"/>
      <protection/>
    </xf>
    <xf numFmtId="0" fontId="47" fillId="11" borderId="0" xfId="0" applyFont="1" applyFill="1" applyAlignment="1" applyProtection="1">
      <alignment/>
      <protection/>
    </xf>
    <xf numFmtId="2" fontId="47" fillId="11" borderId="2" xfId="0" applyNumberFormat="1" applyFont="1" applyFill="1" applyBorder="1" applyAlignment="1" applyProtection="1">
      <alignment horizontal="left"/>
      <protection/>
    </xf>
    <xf numFmtId="0" fontId="47" fillId="11" borderId="0" xfId="0" applyFont="1" applyFill="1" applyAlignment="1" applyProtection="1">
      <alignment horizontal="right"/>
      <protection/>
    </xf>
    <xf numFmtId="0" fontId="0" fillId="16" borderId="0" xfId="0" applyFill="1" applyAlignment="1">
      <alignment/>
    </xf>
    <xf numFmtId="0" fontId="52" fillId="16" borderId="0" xfId="0" applyFont="1" applyFill="1" applyAlignment="1">
      <alignment/>
    </xf>
    <xf numFmtId="0" fontId="3" fillId="4" borderId="0" xfId="0" applyFont="1" applyFill="1" applyAlignment="1" applyProtection="1">
      <alignment horizontal="center"/>
      <protection/>
    </xf>
    <xf numFmtId="0" fontId="43" fillId="4" borderId="0" xfId="0" applyFont="1" applyFill="1" applyAlignment="1" applyProtection="1">
      <alignment/>
      <protection/>
    </xf>
    <xf numFmtId="0" fontId="44" fillId="4" borderId="2" xfId="0" applyFont="1" applyFill="1" applyBorder="1" applyAlignment="1" applyProtection="1">
      <alignment/>
      <protection/>
    </xf>
    <xf numFmtId="0" fontId="0" fillId="4" borderId="2" xfId="0" applyFill="1" applyBorder="1" applyAlignment="1" applyProtection="1">
      <alignment/>
      <protection/>
    </xf>
    <xf numFmtId="0" fontId="0" fillId="4" borderId="0" xfId="0" applyFill="1" applyAlignment="1">
      <alignment/>
    </xf>
    <xf numFmtId="9" fontId="25" fillId="4" borderId="0" xfId="21" applyFont="1" applyFill="1" applyBorder="1" applyAlignment="1" applyProtection="1">
      <alignment/>
      <protection/>
    </xf>
    <xf numFmtId="0" fontId="42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53" fillId="3" borderId="32" xfId="0" applyFont="1" applyFill="1" applyBorder="1" applyAlignment="1" applyProtection="1">
      <alignment/>
      <protection/>
    </xf>
    <xf numFmtId="0" fontId="54" fillId="3" borderId="38" xfId="0" applyFont="1" applyFill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/>
    </xf>
    <xf numFmtId="1" fontId="0" fillId="4" borderId="0" xfId="0" applyNumberFormat="1" applyFill="1" applyAlignment="1" applyProtection="1">
      <alignment/>
      <protection/>
    </xf>
    <xf numFmtId="0" fontId="21" fillId="4" borderId="0" xfId="0" applyFont="1" applyFill="1" applyBorder="1" applyAlignment="1" applyProtection="1">
      <alignment horizontal="center"/>
      <protection/>
    </xf>
    <xf numFmtId="9" fontId="0" fillId="4" borderId="0" xfId="21" applyFill="1" applyAlignment="1" applyProtection="1">
      <alignment/>
      <protection/>
    </xf>
    <xf numFmtId="0" fontId="21" fillId="0" borderId="0" xfId="0" applyFont="1" applyBorder="1" applyAlignment="1" applyProtection="1">
      <alignment horizontal="center"/>
      <protection/>
    </xf>
    <xf numFmtId="171" fontId="0" fillId="0" borderId="0" xfId="17" applyAlignment="1" applyProtection="1">
      <alignment/>
      <protection/>
    </xf>
    <xf numFmtId="2" fontId="0" fillId="0" borderId="4" xfId="0" applyNumberFormat="1" applyBorder="1" applyAlignment="1" applyProtection="1">
      <alignment horizontal="left"/>
      <protection/>
    </xf>
    <xf numFmtId="0" fontId="26" fillId="0" borderId="0" xfId="0" applyFont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2" fontId="35" fillId="0" borderId="0" xfId="0" applyNumberFormat="1" applyFont="1" applyBorder="1" applyAlignment="1" applyProtection="1">
      <alignment horizontal="left"/>
      <protection/>
    </xf>
    <xf numFmtId="2" fontId="3" fillId="0" borderId="0" xfId="0" applyNumberFormat="1" applyFont="1" applyAlignment="1" applyProtection="1">
      <alignment/>
      <protection/>
    </xf>
    <xf numFmtId="0" fontId="0" fillId="4" borderId="0" xfId="0" applyFill="1" applyBorder="1" applyAlignment="1" applyProtection="1">
      <alignment horizontal="right"/>
      <protection/>
    </xf>
    <xf numFmtId="172" fontId="0" fillId="4" borderId="0" xfId="0" applyNumberFormat="1" applyFill="1" applyBorder="1" applyAlignment="1" applyProtection="1">
      <alignment/>
      <protection/>
    </xf>
    <xf numFmtId="2" fontId="18" fillId="4" borderId="0" xfId="0" applyNumberFormat="1" applyFont="1" applyFill="1" applyBorder="1" applyAlignment="1" applyProtection="1">
      <alignment horizontal="right"/>
      <protection/>
    </xf>
    <xf numFmtId="172" fontId="26" fillId="4" borderId="0" xfId="0" applyNumberFormat="1" applyFont="1" applyFill="1" applyBorder="1" applyAlignment="1" applyProtection="1">
      <alignment/>
      <protection/>
    </xf>
    <xf numFmtId="10" fontId="26" fillId="4" borderId="0" xfId="21" applyNumberFormat="1" applyFont="1" applyFill="1" applyBorder="1" applyAlignment="1" applyProtection="1">
      <alignment horizontal="right"/>
      <protection/>
    </xf>
    <xf numFmtId="9" fontId="25" fillId="7" borderId="0" xfId="21" applyFont="1" applyFill="1" applyBorder="1" applyAlignment="1" applyProtection="1">
      <alignment/>
      <protection/>
    </xf>
    <xf numFmtId="0" fontId="0" fillId="7" borderId="0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9" fontId="21" fillId="0" borderId="30" xfId="0" applyNumberFormat="1" applyFont="1" applyFill="1" applyBorder="1" applyAlignment="1" applyProtection="1">
      <alignment horizontal="center"/>
      <protection locked="0"/>
    </xf>
    <xf numFmtId="1" fontId="0" fillId="7" borderId="0" xfId="0" applyNumberFormat="1" applyFill="1" applyAlignment="1" applyProtection="1">
      <alignment/>
      <protection/>
    </xf>
    <xf numFmtId="0" fontId="21" fillId="7" borderId="0" xfId="0" applyFont="1" applyFill="1" applyBorder="1" applyAlignment="1" applyProtection="1">
      <alignment horizontal="center"/>
      <protection/>
    </xf>
    <xf numFmtId="0" fontId="0" fillId="7" borderId="0" xfId="0" applyFill="1" applyAlignment="1" applyProtection="1">
      <alignment/>
      <protection/>
    </xf>
    <xf numFmtId="9" fontId="0" fillId="7" borderId="0" xfId="21" applyFill="1" applyAlignment="1" applyProtection="1">
      <alignment/>
      <protection/>
    </xf>
    <xf numFmtId="9" fontId="25" fillId="6" borderId="0" xfId="21" applyFont="1" applyFill="1" applyBorder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1" fontId="0" fillId="6" borderId="0" xfId="0" applyNumberFormat="1" applyFill="1" applyAlignment="1" applyProtection="1">
      <alignment/>
      <protection/>
    </xf>
    <xf numFmtId="0" fontId="21" fillId="6" borderId="0" xfId="0" applyFont="1" applyFill="1" applyBorder="1" applyAlignment="1" applyProtection="1">
      <alignment horizontal="center"/>
      <protection/>
    </xf>
    <xf numFmtId="9" fontId="0" fillId="6" borderId="0" xfId="21" applyFill="1" applyAlignment="1" applyProtection="1">
      <alignment/>
      <protection/>
    </xf>
    <xf numFmtId="9" fontId="25" fillId="17" borderId="0" xfId="21" applyFont="1" applyFill="1" applyBorder="1" applyAlignment="1" applyProtection="1">
      <alignment/>
      <protection/>
    </xf>
    <xf numFmtId="0" fontId="0" fillId="17" borderId="0" xfId="0" applyFill="1" applyBorder="1" applyAlignment="1" applyProtection="1">
      <alignment/>
      <protection/>
    </xf>
    <xf numFmtId="0" fontId="0" fillId="17" borderId="0" xfId="0" applyFill="1" applyAlignment="1" applyProtection="1">
      <alignment/>
      <protection/>
    </xf>
    <xf numFmtId="1" fontId="0" fillId="17" borderId="0" xfId="0" applyNumberFormat="1" applyFill="1" applyAlignment="1" applyProtection="1">
      <alignment/>
      <protection/>
    </xf>
    <xf numFmtId="0" fontId="21" fillId="17" borderId="0" xfId="0" applyFont="1" applyFill="1" applyBorder="1" applyAlignment="1" applyProtection="1">
      <alignment horizontal="center"/>
      <protection/>
    </xf>
    <xf numFmtId="9" fontId="0" fillId="17" borderId="0" xfId="21" applyFill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8" fillId="8" borderId="19" xfId="0" applyFont="1" applyFill="1" applyBorder="1" applyAlignment="1" applyProtection="1">
      <alignment/>
      <protection/>
    </xf>
    <xf numFmtId="0" fontId="56" fillId="8" borderId="11" xfId="0" applyFont="1" applyFill="1" applyBorder="1" applyAlignment="1">
      <alignment/>
    </xf>
    <xf numFmtId="0" fontId="57" fillId="8" borderId="11" xfId="0" applyFont="1" applyFill="1" applyBorder="1" applyAlignment="1" applyProtection="1">
      <alignment/>
      <protection/>
    </xf>
    <xf numFmtId="0" fontId="8" fillId="8" borderId="20" xfId="0" applyFont="1" applyFill="1" applyBorder="1" applyAlignment="1" applyProtection="1">
      <alignment/>
      <protection/>
    </xf>
    <xf numFmtId="0" fontId="22" fillId="0" borderId="0" xfId="0" applyFont="1" applyAlignment="1">
      <alignment/>
    </xf>
    <xf numFmtId="0" fontId="58" fillId="4" borderId="22" xfId="0" applyFont="1" applyFill="1" applyBorder="1" applyAlignment="1" applyProtection="1">
      <alignment/>
      <protection/>
    </xf>
    <xf numFmtId="0" fontId="58" fillId="4" borderId="23" xfId="0" applyFont="1" applyFill="1" applyBorder="1" applyAlignment="1" applyProtection="1">
      <alignment/>
      <protection/>
    </xf>
    <xf numFmtId="0" fontId="58" fillId="4" borderId="25" xfId="0" applyFont="1" applyFill="1" applyBorder="1" applyAlignment="1" applyProtection="1">
      <alignment/>
      <protection/>
    </xf>
    <xf numFmtId="0" fontId="58" fillId="4" borderId="0" xfId="0" applyFont="1" applyFill="1" applyBorder="1" applyAlignment="1" applyProtection="1">
      <alignment/>
      <protection/>
    </xf>
    <xf numFmtId="0" fontId="4" fillId="4" borderId="25" xfId="15" applyFont="1" applyFill="1" applyBorder="1" applyAlignment="1" applyProtection="1">
      <alignment/>
      <protection/>
    </xf>
    <xf numFmtId="0" fontId="59" fillId="4" borderId="25" xfId="15" applyFont="1" applyFill="1" applyBorder="1" applyAlignment="1" applyProtection="1">
      <alignment/>
      <protection/>
    </xf>
    <xf numFmtId="0" fontId="59" fillId="4" borderId="44" xfId="15" applyFont="1" applyFill="1" applyBorder="1" applyAlignment="1" applyProtection="1">
      <alignment/>
      <protection/>
    </xf>
    <xf numFmtId="0" fontId="58" fillId="4" borderId="45" xfId="0" applyFont="1" applyFill="1" applyBorder="1" applyAlignment="1" applyProtection="1">
      <alignment/>
      <protection/>
    </xf>
    <xf numFmtId="0" fontId="0" fillId="4" borderId="43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171" fontId="0" fillId="0" borderId="0" xfId="17" applyFill="1" applyAlignment="1" applyProtection="1">
      <alignment/>
      <protection/>
    </xf>
    <xf numFmtId="10" fontId="60" fillId="18" borderId="0" xfId="21" applyNumberFormat="1" applyFont="1" applyFill="1" applyBorder="1" applyAlignment="1" applyProtection="1">
      <alignment horizontal="right"/>
      <protection/>
    </xf>
    <xf numFmtId="2" fontId="60" fillId="18" borderId="0" xfId="0" applyNumberFormat="1" applyFont="1" applyFill="1" applyAlignment="1" applyProtection="1">
      <alignment/>
      <protection/>
    </xf>
    <xf numFmtId="10" fontId="60" fillId="18" borderId="0" xfId="21" applyNumberFormat="1" applyFont="1" applyFill="1" applyAlignment="1" applyProtection="1">
      <alignment/>
      <protection/>
    </xf>
    <xf numFmtId="2" fontId="0" fillId="0" borderId="0" xfId="0" applyNumberFormat="1" applyAlignment="1" applyProtection="1">
      <alignment horizontal="left"/>
      <protection/>
    </xf>
    <xf numFmtId="172" fontId="2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175" fontId="2" fillId="0" borderId="4" xfId="19" applyNumberFormat="1" applyFont="1" applyBorder="1" applyAlignment="1" applyProtection="1">
      <alignment horizontal="right"/>
      <protection/>
    </xf>
    <xf numFmtId="2" fontId="2" fillId="0" borderId="4" xfId="0" applyNumberFormat="1" applyFont="1" applyBorder="1" applyAlignment="1" applyProtection="1">
      <alignment horizontal="left"/>
      <protection/>
    </xf>
    <xf numFmtId="0" fontId="61" fillId="3" borderId="0" xfId="0" applyFont="1" applyFill="1" applyAlignment="1" applyProtection="1">
      <alignment horizontal="left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&#237;ctor\Configuraci&#243;n%20local\Archivos%20temporales%20de%20Internet\Content.IE5\FGZ6KQKF\simulad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 24 feb 06"/>
      <sheetName val="Jubilad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" TargetMode="External" /><Relationship Id="rId2" Type="http://schemas.openxmlformats.org/officeDocument/2006/relationships/hyperlink" Target="." TargetMode="External" /><Relationship Id="rId3" Type="http://schemas.openxmlformats.org/officeDocument/2006/relationships/hyperlink" Target="http://www.celestecompromiso.com.ar/" TargetMode="External" /><Relationship Id="rId4" Type="http://schemas.openxmlformats.org/officeDocument/2006/relationships/hyperlink" Target="http://www.celestecompromiso.com.ar/" TargetMode="External" /><Relationship Id="rId5" Type="http://schemas.openxmlformats.org/officeDocument/2006/relationships/hyperlink" Target="mailto:victorhutt@victorhutt.com.ar" TargetMode="External" /><Relationship Id="rId6" Type="http://schemas.openxmlformats.org/officeDocument/2006/relationships/hyperlink" Target="mailto:victorhutt@victorhutt.com.ar" TargetMode="External" /><Relationship Id="rId7" Type="http://schemas.openxmlformats.org/officeDocument/2006/relationships/comments" Target="../comments1.xml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" TargetMode="External" /><Relationship Id="rId2" Type="http://schemas.openxmlformats.org/officeDocument/2006/relationships/hyperlink" Target="http://www.celestecompromiso.com.ar/" TargetMode="External" /><Relationship Id="rId3" Type="http://schemas.openxmlformats.org/officeDocument/2006/relationships/hyperlink" Target="mailto:victorhutt@victorhutt.com.ar" TargetMode="External" /><Relationship Id="rId4" Type="http://schemas.openxmlformats.org/officeDocument/2006/relationships/comments" Target="../comments2.x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217"/>
  <sheetViews>
    <sheetView showGridLines="0" tabSelected="1" zoomScale="70" zoomScaleNormal="70" workbookViewId="0" topLeftCell="A146">
      <selection activeCell="C45" sqref="C45"/>
    </sheetView>
  </sheetViews>
  <sheetFormatPr defaultColWidth="11.421875" defaultRowHeight="12.75"/>
  <cols>
    <col min="1" max="1" width="11.421875" style="11" customWidth="1"/>
    <col min="2" max="2" width="11.8515625" style="11" customWidth="1"/>
    <col min="3" max="3" width="17.57421875" style="11" customWidth="1"/>
    <col min="4" max="4" width="23.57421875" style="11" customWidth="1"/>
    <col min="5" max="5" width="15.28125" style="11" customWidth="1"/>
    <col min="6" max="6" width="18.00390625" style="11" customWidth="1"/>
    <col min="7" max="7" width="11.7109375" style="11" customWidth="1"/>
    <col min="8" max="8" width="25.00390625" style="11" customWidth="1"/>
    <col min="9" max="9" width="12.7109375" style="11" customWidth="1"/>
    <col min="10" max="10" width="22.8515625" style="11" customWidth="1"/>
    <col min="11" max="20" width="11.421875" style="11" customWidth="1"/>
    <col min="21" max="21" width="16.00390625" style="11" bestFit="1" customWidth="1"/>
    <col min="22" max="24" width="11.421875" style="11" customWidth="1"/>
    <col min="25" max="25" width="13.28125" style="11" customWidth="1"/>
    <col min="26" max="16384" width="11.421875" style="11" customWidth="1"/>
  </cols>
  <sheetData>
    <row r="1" ht="12.75"/>
    <row r="2" spans="1:11" ht="12.75">
      <c r="A2" s="2"/>
      <c r="B2" s="1"/>
      <c r="C2" s="1"/>
      <c r="D2" s="2"/>
      <c r="E2" s="1"/>
      <c r="F2" s="2"/>
      <c r="G2" s="1"/>
      <c r="H2" s="2"/>
      <c r="I2" s="2"/>
      <c r="J2" s="2"/>
      <c r="K2" s="2"/>
    </row>
    <row r="3" spans="1:11" ht="18">
      <c r="A3" s="2"/>
      <c r="B3" s="53"/>
      <c r="C3" s="196" t="s">
        <v>426</v>
      </c>
      <c r="D3" s="197"/>
      <c r="E3" s="197"/>
      <c r="F3" s="194"/>
      <c r="G3" s="54"/>
      <c r="H3" s="3"/>
      <c r="I3" s="4"/>
      <c r="J3" s="1"/>
      <c r="K3" s="2"/>
    </row>
    <row r="4" spans="1:11" ht="18">
      <c r="A4" s="2"/>
      <c r="B4" s="53"/>
      <c r="C4" s="328" t="s">
        <v>468</v>
      </c>
      <c r="D4" s="198"/>
      <c r="E4" s="198"/>
      <c r="F4" s="198"/>
      <c r="G4" s="55"/>
      <c r="H4" s="3"/>
      <c r="I4" s="4"/>
      <c r="J4" s="1"/>
      <c r="K4" s="2"/>
    </row>
    <row r="5" spans="1:11" ht="18">
      <c r="A5" s="2"/>
      <c r="B5" s="1"/>
      <c r="C5" s="195" t="s">
        <v>427</v>
      </c>
      <c r="D5" s="194"/>
      <c r="E5" s="194"/>
      <c r="F5" s="194"/>
      <c r="G5" s="54"/>
      <c r="H5" s="3"/>
      <c r="I5" s="4"/>
      <c r="J5" s="1"/>
      <c r="K5" s="2"/>
    </row>
    <row r="6" spans="1:11" ht="12.75">
      <c r="A6" s="2"/>
      <c r="B6" s="1"/>
      <c r="C6" s="3"/>
      <c r="D6" s="2"/>
      <c r="E6" s="5"/>
      <c r="F6" s="2"/>
      <c r="G6" s="6"/>
      <c r="H6" s="7"/>
      <c r="I6" s="4"/>
      <c r="J6" s="2"/>
      <c r="K6" s="2"/>
    </row>
    <row r="7" spans="1:11" ht="13.5" thickBot="1">
      <c r="A7" s="2"/>
      <c r="B7" s="1"/>
      <c r="C7" s="1"/>
      <c r="D7" s="2"/>
      <c r="E7" s="1"/>
      <c r="F7" s="2"/>
      <c r="G7" s="6"/>
      <c r="H7" s="1"/>
      <c r="I7" s="4"/>
      <c r="J7" s="1"/>
      <c r="K7" s="2"/>
    </row>
    <row r="8" spans="1:11" ht="18.75" thickBot="1">
      <c r="A8" s="2"/>
      <c r="B8" s="6"/>
      <c r="C8" s="61" t="s">
        <v>0</v>
      </c>
      <c r="D8" s="60" t="s">
        <v>1</v>
      </c>
      <c r="E8" s="62"/>
      <c r="F8" s="61" t="s">
        <v>0</v>
      </c>
      <c r="G8" s="51"/>
      <c r="H8" s="8"/>
      <c r="I8" s="4"/>
      <c r="J8" s="8"/>
      <c r="K8" s="2"/>
    </row>
    <row r="9" spans="1:11" ht="18">
      <c r="A9" s="2"/>
      <c r="B9" s="2"/>
      <c r="C9" s="2"/>
      <c r="D9" s="63" t="s">
        <v>369</v>
      </c>
      <c r="E9" s="64"/>
      <c r="F9" s="50"/>
      <c r="G9" s="50"/>
      <c r="H9" s="1"/>
      <c r="I9" s="2"/>
      <c r="J9" s="1"/>
      <c r="K9" s="2"/>
    </row>
    <row r="10" spans="1:11" ht="18">
      <c r="A10" s="2"/>
      <c r="B10" s="2"/>
      <c r="C10" s="2"/>
      <c r="D10" s="63" t="s">
        <v>2</v>
      </c>
      <c r="E10" s="64"/>
      <c r="F10" s="50"/>
      <c r="G10" s="50"/>
      <c r="H10" s="1"/>
      <c r="I10" s="2"/>
      <c r="J10" s="1"/>
      <c r="K10" s="2"/>
    </row>
    <row r="11" spans="1:11" ht="18.75" thickBot="1">
      <c r="A11" s="2"/>
      <c r="B11" s="1"/>
      <c r="C11" s="4"/>
      <c r="D11" s="63" t="s">
        <v>3</v>
      </c>
      <c r="E11" s="64"/>
      <c r="F11" s="50"/>
      <c r="G11" s="52"/>
      <c r="H11" s="9"/>
      <c r="I11" s="4"/>
      <c r="J11" s="8"/>
      <c r="K11" s="2"/>
    </row>
    <row r="12" spans="1:11" ht="18.75" thickBot="1">
      <c r="A12" s="2"/>
      <c r="B12" s="1"/>
      <c r="C12" s="61" t="s">
        <v>0</v>
      </c>
      <c r="D12" s="65" t="s">
        <v>386</v>
      </c>
      <c r="E12" s="66"/>
      <c r="F12" s="61" t="s">
        <v>0</v>
      </c>
      <c r="G12" s="14"/>
      <c r="H12" s="9"/>
      <c r="I12" s="4"/>
      <c r="J12" s="8"/>
      <c r="K12" s="2"/>
    </row>
    <row r="13" spans="1:11" ht="15.75">
      <c r="A13" s="2"/>
      <c r="B13" s="1"/>
      <c r="C13" s="1"/>
      <c r="D13" s="4"/>
      <c r="E13" s="67"/>
      <c r="F13" s="2"/>
      <c r="G13" s="1"/>
      <c r="H13" s="9"/>
      <c r="I13" s="4"/>
      <c r="J13" s="8"/>
      <c r="K13" s="2"/>
    </row>
    <row r="14" spans="1:11" ht="12.75">
      <c r="A14" s="2"/>
      <c r="B14" s="2"/>
      <c r="C14" s="2"/>
      <c r="D14" s="2"/>
      <c r="E14" s="2"/>
      <c r="F14" s="2"/>
      <c r="G14" s="10"/>
      <c r="H14" s="1"/>
      <c r="I14" s="10"/>
      <c r="J14" s="2"/>
      <c r="K14" s="2"/>
    </row>
    <row r="15" spans="1:7" s="12" customFormat="1" ht="13.5" thickBot="1">
      <c r="A15" s="68"/>
      <c r="B15" s="68"/>
      <c r="C15" s="68"/>
      <c r="D15" s="69"/>
      <c r="E15" s="70"/>
      <c r="F15" s="11"/>
      <c r="G15" s="11"/>
    </row>
    <row r="16" spans="1:255" s="12" customFormat="1" ht="24.75" thickBot="1" thickTop="1">
      <c r="A16" s="71" t="s">
        <v>4</v>
      </c>
      <c r="B16" s="72"/>
      <c r="C16" s="73" t="s">
        <v>5</v>
      </c>
      <c r="D16" s="74" t="s">
        <v>5</v>
      </c>
      <c r="E16" s="75" t="s">
        <v>5</v>
      </c>
      <c r="F16" s="11"/>
      <c r="G16" s="11"/>
      <c r="I16" s="76"/>
      <c r="K16" s="77"/>
      <c r="L16" s="78"/>
      <c r="M16" s="79"/>
      <c r="Q16" s="76"/>
      <c r="S16" s="77"/>
      <c r="T16" s="77"/>
      <c r="U16" s="77"/>
      <c r="V16" s="77"/>
      <c r="W16" s="77"/>
      <c r="X16" s="78"/>
      <c r="Y16" s="79"/>
      <c r="AC16" s="76"/>
      <c r="AE16" s="77"/>
      <c r="AF16" s="78"/>
      <c r="AG16" s="79"/>
      <c r="AK16" s="76"/>
      <c r="AM16" s="77"/>
      <c r="AN16" s="78"/>
      <c r="AO16" s="79"/>
      <c r="AS16" s="76"/>
      <c r="AU16" s="77"/>
      <c r="AV16" s="78"/>
      <c r="AW16" s="79"/>
      <c r="BA16" s="76"/>
      <c r="BC16" s="77"/>
      <c r="BD16" s="78"/>
      <c r="BE16" s="79"/>
      <c r="BI16" s="76"/>
      <c r="BK16" s="77"/>
      <c r="BL16" s="78"/>
      <c r="BM16" s="79"/>
      <c r="BQ16" s="76"/>
      <c r="BS16" s="77"/>
      <c r="BT16" s="78"/>
      <c r="BU16" s="79"/>
      <c r="BY16" s="76"/>
      <c r="CA16" s="77"/>
      <c r="CB16" s="78"/>
      <c r="CC16" s="79"/>
      <c r="CG16" s="76"/>
      <c r="CI16" s="77"/>
      <c r="CJ16" s="78"/>
      <c r="CK16" s="79"/>
      <c r="CO16" s="76"/>
      <c r="CQ16" s="77"/>
      <c r="CR16" s="78"/>
      <c r="CS16" s="79"/>
      <c r="CW16" s="76"/>
      <c r="CY16" s="77"/>
      <c r="CZ16" s="78"/>
      <c r="DA16" s="79"/>
      <c r="DE16" s="76"/>
      <c r="DG16" s="77"/>
      <c r="DH16" s="78"/>
      <c r="DI16" s="79"/>
      <c r="DM16" s="76"/>
      <c r="DO16" s="77"/>
      <c r="DP16" s="78"/>
      <c r="DQ16" s="79"/>
      <c r="DU16" s="76"/>
      <c r="DW16" s="77"/>
      <c r="DX16" s="78"/>
      <c r="DY16" s="79"/>
      <c r="EC16" s="76"/>
      <c r="EE16" s="77"/>
      <c r="EF16" s="78"/>
      <c r="EG16" s="79"/>
      <c r="EK16" s="76"/>
      <c r="EM16" s="77"/>
      <c r="EN16" s="78"/>
      <c r="EO16" s="79"/>
      <c r="ES16" s="76"/>
      <c r="EU16" s="77"/>
      <c r="EV16" s="78"/>
      <c r="EW16" s="79"/>
      <c r="FA16" s="76"/>
      <c r="FC16" s="77"/>
      <c r="FD16" s="78"/>
      <c r="FE16" s="79"/>
      <c r="FI16" s="76"/>
      <c r="FK16" s="77"/>
      <c r="FL16" s="78"/>
      <c r="FM16" s="79"/>
      <c r="FQ16" s="76"/>
      <c r="FS16" s="77"/>
      <c r="FT16" s="78"/>
      <c r="FU16" s="79"/>
      <c r="FY16" s="76"/>
      <c r="GA16" s="77"/>
      <c r="GB16" s="78"/>
      <c r="GC16" s="79"/>
      <c r="GG16" s="76"/>
      <c r="GI16" s="77"/>
      <c r="GJ16" s="78"/>
      <c r="GK16" s="79"/>
      <c r="GO16" s="76"/>
      <c r="GQ16" s="77"/>
      <c r="GR16" s="78"/>
      <c r="GS16" s="79"/>
      <c r="GW16" s="76"/>
      <c r="GY16" s="77"/>
      <c r="GZ16" s="78"/>
      <c r="HA16" s="79"/>
      <c r="HE16" s="76"/>
      <c r="HG16" s="77"/>
      <c r="HH16" s="78"/>
      <c r="HI16" s="79"/>
      <c r="HM16" s="76"/>
      <c r="HO16" s="77"/>
      <c r="HP16" s="78"/>
      <c r="HQ16" s="79"/>
      <c r="HU16" s="76"/>
      <c r="HW16" s="77"/>
      <c r="HX16" s="78"/>
      <c r="HY16" s="79"/>
      <c r="IC16" s="76"/>
      <c r="IE16" s="77"/>
      <c r="IF16" s="78"/>
      <c r="IG16" s="79"/>
      <c r="IK16" s="76"/>
      <c r="IM16" s="77"/>
      <c r="IN16" s="78"/>
      <c r="IO16" s="79"/>
      <c r="IS16" s="76"/>
      <c r="IU16" s="77"/>
    </row>
    <row r="17" spans="1:253" s="12" customFormat="1" ht="20.25">
      <c r="A17" s="80"/>
      <c r="B17" s="81"/>
      <c r="C17" s="81"/>
      <c r="D17" s="69"/>
      <c r="E17" s="70"/>
      <c r="F17" s="11"/>
      <c r="G17" s="11"/>
      <c r="I17" s="82"/>
      <c r="Q17" s="82"/>
      <c r="AC17" s="82"/>
      <c r="AK17" s="82"/>
      <c r="AS17" s="82"/>
      <c r="BA17" s="82"/>
      <c r="BI17" s="82"/>
      <c r="BQ17" s="82"/>
      <c r="BY17" s="82"/>
      <c r="CG17" s="82"/>
      <c r="CO17" s="82"/>
      <c r="CW17" s="82"/>
      <c r="DE17" s="82"/>
      <c r="DM17" s="82"/>
      <c r="DU17" s="82"/>
      <c r="EC17" s="82"/>
      <c r="EK17" s="82"/>
      <c r="ES17" s="82"/>
      <c r="FA17" s="82"/>
      <c r="FI17" s="82"/>
      <c r="FQ17" s="82"/>
      <c r="FY17" s="82"/>
      <c r="GG17" s="82"/>
      <c r="GO17" s="82"/>
      <c r="GW17" s="82"/>
      <c r="HE17" s="82"/>
      <c r="HM17" s="82"/>
      <c r="HU17" s="82"/>
      <c r="IC17" s="82"/>
      <c r="IK17" s="82"/>
      <c r="IS17" s="82"/>
    </row>
    <row r="18" spans="1:253" s="12" customFormat="1" ht="15">
      <c r="A18" s="83"/>
      <c r="B18" s="84"/>
      <c r="C18" s="84"/>
      <c r="D18" s="84"/>
      <c r="E18" s="84"/>
      <c r="F18" s="84"/>
      <c r="G18" s="84"/>
      <c r="I18" s="85"/>
      <c r="Q18" s="85"/>
      <c r="AC18" s="85"/>
      <c r="AK18" s="85"/>
      <c r="AS18" s="85"/>
      <c r="BA18" s="85"/>
      <c r="BI18" s="85"/>
      <c r="BQ18" s="85"/>
      <c r="BY18" s="85"/>
      <c r="CG18" s="85"/>
      <c r="CO18" s="85"/>
      <c r="CW18" s="85"/>
      <c r="DE18" s="85"/>
      <c r="DM18" s="85"/>
      <c r="DU18" s="85"/>
      <c r="EC18" s="85"/>
      <c r="EK18" s="85"/>
      <c r="ES18" s="85"/>
      <c r="FA18" s="85"/>
      <c r="FI18" s="85"/>
      <c r="FQ18" s="85"/>
      <c r="FY18" s="85"/>
      <c r="GG18" s="85"/>
      <c r="GO18" s="85"/>
      <c r="GW18" s="85"/>
      <c r="HE18" s="85"/>
      <c r="HM18" s="85"/>
      <c r="HU18" s="85"/>
      <c r="IC18" s="85"/>
      <c r="IK18" s="85"/>
      <c r="IS18" s="85"/>
    </row>
    <row r="19" spans="1:7" s="12" customFormat="1" ht="15">
      <c r="A19" s="86" t="s">
        <v>6</v>
      </c>
      <c r="B19" s="84"/>
      <c r="C19" s="84"/>
      <c r="D19" s="84"/>
      <c r="E19" s="84"/>
      <c r="F19" s="84"/>
      <c r="G19" s="84"/>
    </row>
    <row r="20" spans="1:7" s="12" customFormat="1" ht="14.25">
      <c r="A20" s="86"/>
      <c r="B20" s="84"/>
      <c r="C20" s="84"/>
      <c r="D20" s="84"/>
      <c r="E20" s="84"/>
      <c r="F20" s="84"/>
      <c r="G20" s="84"/>
    </row>
    <row r="21" spans="1:7" s="12" customFormat="1" ht="15">
      <c r="A21" s="86" t="s">
        <v>7</v>
      </c>
      <c r="B21" s="84"/>
      <c r="C21" s="84"/>
      <c r="D21" s="84"/>
      <c r="E21" s="84"/>
      <c r="F21" s="84"/>
      <c r="G21" s="84"/>
    </row>
    <row r="22" spans="1:7" s="12" customFormat="1" ht="14.25">
      <c r="A22" s="86"/>
      <c r="B22" s="84"/>
      <c r="C22" s="84"/>
      <c r="D22" s="84"/>
      <c r="E22" s="84"/>
      <c r="F22" s="84"/>
      <c r="G22" s="84"/>
    </row>
    <row r="23" spans="1:7" s="12" customFormat="1" ht="14.25">
      <c r="A23" s="86" t="s">
        <v>403</v>
      </c>
      <c r="B23" s="84"/>
      <c r="C23" s="84"/>
      <c r="D23" s="84"/>
      <c r="E23" s="84"/>
      <c r="F23" s="84"/>
      <c r="G23" s="84"/>
    </row>
    <row r="24" spans="1:7" s="12" customFormat="1" ht="14.25">
      <c r="A24" s="86" t="s">
        <v>402</v>
      </c>
      <c r="B24" s="84"/>
      <c r="C24" s="84"/>
      <c r="D24" s="84"/>
      <c r="E24" s="84"/>
      <c r="F24" s="84"/>
      <c r="G24" s="84"/>
    </row>
    <row r="25" spans="1:7" s="12" customFormat="1" ht="14.25">
      <c r="A25" s="86"/>
      <c r="B25" s="84"/>
      <c r="C25" s="84"/>
      <c r="D25" s="84"/>
      <c r="E25" s="84"/>
      <c r="F25" s="84"/>
      <c r="G25" s="84"/>
    </row>
    <row r="26" spans="1:7" s="12" customFormat="1" ht="14.25">
      <c r="A26" s="86" t="s">
        <v>370</v>
      </c>
      <c r="B26" s="84"/>
      <c r="C26" s="84"/>
      <c r="D26" s="84"/>
      <c r="E26" s="84"/>
      <c r="F26" s="84"/>
      <c r="G26" s="84"/>
    </row>
    <row r="27" spans="1:7" s="12" customFormat="1" ht="14.25">
      <c r="A27" s="86" t="s">
        <v>371</v>
      </c>
      <c r="B27" s="84"/>
      <c r="C27" s="84"/>
      <c r="D27" s="84"/>
      <c r="E27" s="84"/>
      <c r="F27" s="84"/>
      <c r="G27" s="84"/>
    </row>
    <row r="28" spans="1:7" s="12" customFormat="1" ht="14.25">
      <c r="A28" s="86"/>
      <c r="B28" s="84"/>
      <c r="C28" s="84"/>
      <c r="D28" s="84"/>
      <c r="E28" s="84"/>
      <c r="F28" s="84"/>
      <c r="G28" s="84"/>
    </row>
    <row r="29" spans="1:7" s="12" customFormat="1" ht="14.25">
      <c r="A29" s="86" t="s">
        <v>372</v>
      </c>
      <c r="B29" s="84"/>
      <c r="C29" s="84"/>
      <c r="D29" s="84"/>
      <c r="E29" s="84"/>
      <c r="F29" s="84"/>
      <c r="G29" s="84"/>
    </row>
    <row r="30" spans="1:7" s="12" customFormat="1" ht="14.25">
      <c r="A30" s="86" t="s">
        <v>373</v>
      </c>
      <c r="B30" s="84"/>
      <c r="C30" s="84"/>
      <c r="D30" s="84"/>
      <c r="E30" s="84"/>
      <c r="F30" s="84"/>
      <c r="G30" s="84"/>
    </row>
    <row r="31" spans="1:7" s="12" customFormat="1" ht="14.25">
      <c r="A31" s="86" t="s">
        <v>374</v>
      </c>
      <c r="B31" s="84"/>
      <c r="C31" s="84"/>
      <c r="D31" s="84"/>
      <c r="F31" s="84"/>
      <c r="G31" s="84"/>
    </row>
    <row r="32" spans="1:7" s="12" customFormat="1" ht="15.75">
      <c r="A32" s="86"/>
      <c r="B32" s="87" t="s">
        <v>375</v>
      </c>
      <c r="C32" s="84"/>
      <c r="D32" s="84"/>
      <c r="E32" s="87"/>
      <c r="F32" s="84"/>
      <c r="G32" s="84"/>
    </row>
    <row r="33" spans="1:7" s="12" customFormat="1" ht="15.75">
      <c r="A33" s="86"/>
      <c r="B33" s="87"/>
      <c r="C33" s="84"/>
      <c r="D33" s="84"/>
      <c r="E33" s="87"/>
      <c r="F33" s="84"/>
      <c r="G33" s="84"/>
    </row>
    <row r="34" spans="1:7" s="12" customFormat="1" ht="15.75">
      <c r="A34" s="86" t="s">
        <v>377</v>
      </c>
      <c r="B34" s="87"/>
      <c r="C34" s="84"/>
      <c r="D34" s="84"/>
      <c r="E34" s="87"/>
      <c r="F34" s="84"/>
      <c r="G34" s="84"/>
    </row>
    <row r="35" spans="1:7" s="12" customFormat="1" ht="15.75">
      <c r="A35" s="86" t="s">
        <v>378</v>
      </c>
      <c r="B35" s="87"/>
      <c r="C35" s="84"/>
      <c r="D35" s="84"/>
      <c r="E35" s="87"/>
      <c r="F35" s="84"/>
      <c r="G35" s="84"/>
    </row>
    <row r="36" spans="1:7" s="12" customFormat="1" ht="15.75">
      <c r="A36" s="86" t="s">
        <v>379</v>
      </c>
      <c r="B36" s="87"/>
      <c r="C36" s="84"/>
      <c r="D36" s="84"/>
      <c r="E36" s="87"/>
      <c r="F36" s="84"/>
      <c r="G36" s="84"/>
    </row>
    <row r="37" spans="1:7" s="12" customFormat="1" ht="15.75">
      <c r="A37" s="86" t="s">
        <v>380</v>
      </c>
      <c r="B37" s="87"/>
      <c r="C37" s="84"/>
      <c r="D37" s="84"/>
      <c r="E37" s="87"/>
      <c r="F37" s="84"/>
      <c r="G37" s="84"/>
    </row>
    <row r="38" spans="1:7" s="12" customFormat="1" ht="15.75">
      <c r="A38" s="86" t="s">
        <v>381</v>
      </c>
      <c r="B38" s="87"/>
      <c r="C38" s="84"/>
      <c r="D38" s="84"/>
      <c r="E38" s="87"/>
      <c r="F38" s="84"/>
      <c r="G38" s="84"/>
    </row>
    <row r="39" spans="1:7" s="12" customFormat="1" ht="15.75">
      <c r="A39" s="86"/>
      <c r="B39" s="87"/>
      <c r="C39" s="84"/>
      <c r="D39" s="84"/>
      <c r="E39" s="87"/>
      <c r="F39" s="84"/>
      <c r="G39" s="84"/>
    </row>
    <row r="40" spans="1:7" s="12" customFormat="1" ht="14.25">
      <c r="A40" s="86" t="s">
        <v>8</v>
      </c>
      <c r="B40" s="84"/>
      <c r="C40" s="84"/>
      <c r="D40" s="84"/>
      <c r="E40" s="84"/>
      <c r="F40" s="84"/>
      <c r="G40" s="84"/>
    </row>
    <row r="41" spans="1:7" s="12" customFormat="1" ht="14.25">
      <c r="A41" s="86" t="s">
        <v>9</v>
      </c>
      <c r="B41" s="84"/>
      <c r="C41" s="84"/>
      <c r="D41" s="84"/>
      <c r="E41" s="84"/>
      <c r="F41" s="84"/>
      <c r="G41" s="84"/>
    </row>
    <row r="42" spans="1:7" s="12" customFormat="1" ht="14.25">
      <c r="A42" s="86" t="s">
        <v>10</v>
      </c>
      <c r="B42" s="84"/>
      <c r="C42" s="84"/>
      <c r="D42" s="84"/>
      <c r="E42" s="84"/>
      <c r="F42" s="84"/>
      <c r="G42" s="84"/>
    </row>
    <row r="43" spans="1:7" s="12" customFormat="1" ht="14.25">
      <c r="A43" s="86"/>
      <c r="B43" s="84"/>
      <c r="C43" s="84"/>
      <c r="D43" s="84"/>
      <c r="E43" s="84"/>
      <c r="F43" s="84"/>
      <c r="G43" s="84"/>
    </row>
    <row r="44" spans="1:7" s="12" customFormat="1" ht="14.25">
      <c r="A44" s="86" t="s">
        <v>469</v>
      </c>
      <c r="B44" s="84"/>
      <c r="C44" s="84"/>
      <c r="D44" s="84"/>
      <c r="E44" s="84"/>
      <c r="F44" s="84"/>
      <c r="G44" s="84"/>
    </row>
    <row r="45" spans="1:7" s="12" customFormat="1" ht="14.25">
      <c r="A45" s="86"/>
      <c r="B45" s="84"/>
      <c r="C45" s="84"/>
      <c r="D45" s="84"/>
      <c r="E45" s="84"/>
      <c r="F45" s="84"/>
      <c r="G45" s="84"/>
    </row>
    <row r="46" spans="1:7" s="12" customFormat="1" ht="14.25">
      <c r="A46" s="86" t="s">
        <v>391</v>
      </c>
      <c r="B46" s="84"/>
      <c r="C46" s="84"/>
      <c r="D46" s="84"/>
      <c r="E46" s="84"/>
      <c r="F46" s="84"/>
      <c r="G46" s="84"/>
    </row>
    <row r="47" spans="1:7" s="12" customFormat="1" ht="14.25">
      <c r="A47" s="86" t="s">
        <v>392</v>
      </c>
      <c r="B47" s="84"/>
      <c r="C47" s="84"/>
      <c r="D47" s="84"/>
      <c r="E47" s="84"/>
      <c r="F47" s="84"/>
      <c r="G47" s="84"/>
    </row>
    <row r="48" spans="1:7" s="12" customFormat="1" ht="14.25">
      <c r="A48" s="86" t="s">
        <v>393</v>
      </c>
      <c r="B48" s="84"/>
      <c r="C48" s="84"/>
      <c r="D48" s="84"/>
      <c r="E48" s="84"/>
      <c r="F48" s="84"/>
      <c r="G48" s="84"/>
    </row>
    <row r="49" spans="1:7" s="12" customFormat="1" ht="14.25">
      <c r="A49" s="86" t="s">
        <v>382</v>
      </c>
      <c r="B49" s="84"/>
      <c r="C49" s="84"/>
      <c r="D49" s="84"/>
      <c r="E49" s="84"/>
      <c r="F49" s="84"/>
      <c r="G49" s="84"/>
    </row>
    <row r="50" spans="1:7" s="12" customFormat="1" ht="14.25">
      <c r="A50" s="86"/>
      <c r="B50" s="84"/>
      <c r="C50" s="84"/>
      <c r="D50" s="84"/>
      <c r="E50" s="84"/>
      <c r="F50" s="84"/>
      <c r="G50" s="84"/>
    </row>
    <row r="51" spans="1:7" s="12" customFormat="1" ht="14.25">
      <c r="A51" s="86" t="s">
        <v>11</v>
      </c>
      <c r="B51" s="84"/>
      <c r="C51" s="84"/>
      <c r="D51" s="84"/>
      <c r="E51" s="84"/>
      <c r="F51" s="84"/>
      <c r="G51" s="84"/>
    </row>
    <row r="52" spans="1:7" s="12" customFormat="1" ht="14.25">
      <c r="A52" s="86" t="s">
        <v>441</v>
      </c>
      <c r="B52" s="84"/>
      <c r="C52" s="84"/>
      <c r="D52" s="84"/>
      <c r="E52" s="84"/>
      <c r="F52" s="84"/>
      <c r="G52" s="84"/>
    </row>
    <row r="53" spans="1:7" s="12" customFormat="1" ht="14.25">
      <c r="A53" s="86"/>
      <c r="B53" s="84"/>
      <c r="C53" s="84"/>
      <c r="D53" s="84"/>
      <c r="E53" s="84"/>
      <c r="F53" s="84"/>
      <c r="G53" s="84"/>
    </row>
    <row r="54" spans="1:7" s="12" customFormat="1" ht="12.75">
      <c r="A54" s="84"/>
      <c r="B54" s="84"/>
      <c r="C54" s="84"/>
      <c r="D54" s="84"/>
      <c r="E54" s="84"/>
      <c r="F54" s="84"/>
      <c r="G54" s="84"/>
    </row>
    <row r="55" spans="4:26" s="12" customFormat="1" ht="16.5" hidden="1" thickBot="1">
      <c r="D55" s="84"/>
      <c r="E55" s="20" t="s">
        <v>35</v>
      </c>
      <c r="F55" s="20">
        <v>0.2725</v>
      </c>
      <c r="G55" s="20" t="s">
        <v>37</v>
      </c>
      <c r="H55" s="20">
        <v>0.3141</v>
      </c>
      <c r="J55" s="146" t="s">
        <v>397</v>
      </c>
      <c r="K55" s="146"/>
      <c r="L55" s="147" t="s">
        <v>394</v>
      </c>
      <c r="M55" s="199">
        <v>5</v>
      </c>
      <c r="N55" s="200" t="s">
        <v>428</v>
      </c>
      <c r="O55" s="200" t="s">
        <v>429</v>
      </c>
      <c r="P55" s="200" t="s">
        <v>430</v>
      </c>
      <c r="Q55" s="200" t="s">
        <v>431</v>
      </c>
      <c r="R55" s="200" t="s">
        <v>432</v>
      </c>
      <c r="S55" s="200" t="s">
        <v>433</v>
      </c>
      <c r="T55" s="200">
        <v>1</v>
      </c>
      <c r="U55" s="200">
        <v>2</v>
      </c>
      <c r="V55" s="200">
        <v>3</v>
      </c>
      <c r="W55" s="200">
        <v>4</v>
      </c>
      <c r="Y55" s="11" t="s">
        <v>405</v>
      </c>
      <c r="Z55" s="179"/>
    </row>
    <row r="56" spans="4:28" s="12" customFormat="1" ht="16.5" hidden="1" thickBot="1">
      <c r="D56" s="84"/>
      <c r="E56" s="19" t="s">
        <v>36</v>
      </c>
      <c r="F56" s="19">
        <v>86.04</v>
      </c>
      <c r="G56" s="19" t="s">
        <v>38</v>
      </c>
      <c r="H56" s="20">
        <v>86.04</v>
      </c>
      <c r="J56" s="146"/>
      <c r="K56" s="146"/>
      <c r="L56" s="147"/>
      <c r="M56" s="171"/>
      <c r="N56" s="11" t="s">
        <v>434</v>
      </c>
      <c r="O56" s="172" t="s">
        <v>435</v>
      </c>
      <c r="P56" s="172" t="s">
        <v>436</v>
      </c>
      <c r="Q56" s="172" t="s">
        <v>437</v>
      </c>
      <c r="R56" s="172" t="s">
        <v>438</v>
      </c>
      <c r="S56" s="172" t="s">
        <v>439</v>
      </c>
      <c r="T56" s="172"/>
      <c r="U56" s="172"/>
      <c r="V56" s="172"/>
      <c r="W56" s="11"/>
      <c r="Y56" s="180" t="s">
        <v>406</v>
      </c>
      <c r="Z56" s="181">
        <v>0.4543</v>
      </c>
      <c r="AA56" s="180" t="s">
        <v>460</v>
      </c>
      <c r="AB56" s="181">
        <v>0.47</v>
      </c>
    </row>
    <row r="57" spans="4:26" s="12" customFormat="1" ht="13.5" hidden="1" thickBot="1">
      <c r="D57" s="84"/>
      <c r="E57" s="19" t="s">
        <v>39</v>
      </c>
      <c r="F57" s="19">
        <v>84</v>
      </c>
      <c r="G57" s="19" t="s">
        <v>40</v>
      </c>
      <c r="H57" s="141">
        <f>LOOKUP(E115,J58:J69,L58:L69)</f>
        <v>126</v>
      </c>
      <c r="I57" s="12" t="s">
        <v>398</v>
      </c>
      <c r="J57" s="148" t="s">
        <v>21</v>
      </c>
      <c r="K57" s="149" t="s">
        <v>395</v>
      </c>
      <c r="L57" s="150" t="s">
        <v>396</v>
      </c>
      <c r="M57" s="173"/>
      <c r="N57" s="174" t="s">
        <v>404</v>
      </c>
      <c r="O57" s="11"/>
      <c r="P57" s="11"/>
      <c r="Q57" s="11"/>
      <c r="R57" s="11"/>
      <c r="S57" s="11"/>
      <c r="T57" s="11"/>
      <c r="U57" s="11"/>
      <c r="V57" s="11"/>
      <c r="W57" s="11"/>
      <c r="Y57" s="11"/>
      <c r="Z57" s="48"/>
    </row>
    <row r="58" spans="4:252" s="12" customFormat="1" ht="16.5" hidden="1" thickBot="1">
      <c r="D58" s="92"/>
      <c r="E58" s="20" t="s">
        <v>41</v>
      </c>
      <c r="F58" s="20">
        <v>0.32</v>
      </c>
      <c r="G58" s="20" t="s">
        <v>42</v>
      </c>
      <c r="H58" s="93">
        <v>0.37</v>
      </c>
      <c r="I58" s="12" t="s">
        <v>399</v>
      </c>
      <c r="J58" s="151">
        <v>0</v>
      </c>
      <c r="K58" s="152">
        <v>0</v>
      </c>
      <c r="L58" s="153">
        <f aca="true" t="shared" si="0" ref="L58:L69">K58*1.5</f>
        <v>0</v>
      </c>
      <c r="M58" s="175">
        <f>IF(puntosproljor&lt;620,W58,S58)</f>
        <v>0</v>
      </c>
      <c r="N58" s="176">
        <v>0</v>
      </c>
      <c r="O58" s="201">
        <v>0</v>
      </c>
      <c r="P58" s="202">
        <v>0</v>
      </c>
      <c r="Q58" s="203">
        <v>0</v>
      </c>
      <c r="R58" s="204">
        <v>0</v>
      </c>
      <c r="S58" s="19">
        <v>0</v>
      </c>
      <c r="T58" s="205">
        <f>IF(punbasjub&lt;1170,N58,O58)</f>
        <v>0</v>
      </c>
      <c r="U58" s="205">
        <f>IF(punbasjub&lt;1401,T58,P58)</f>
        <v>0</v>
      </c>
      <c r="V58" s="205">
        <f>IF(punbasjub&lt;1943,U58,Q58)</f>
        <v>0</v>
      </c>
      <c r="W58" s="205">
        <f>IF(punbasjub&lt;=2220,V58,R58)</f>
        <v>0</v>
      </c>
      <c r="X58" s="92"/>
      <c r="Y58" s="11" t="s">
        <v>407</v>
      </c>
      <c r="Z58" s="182"/>
      <c r="AB58" s="94"/>
      <c r="AF58" s="92"/>
      <c r="AJ58" s="94"/>
      <c r="AN58" s="92"/>
      <c r="AR58" s="94"/>
      <c r="AV58" s="92"/>
      <c r="AZ58" s="94"/>
      <c r="BD58" s="92"/>
      <c r="BH58" s="94"/>
      <c r="BL58" s="92"/>
      <c r="BP58" s="94"/>
      <c r="BT58" s="92"/>
      <c r="BX58" s="94"/>
      <c r="CB58" s="92"/>
      <c r="CF58" s="94"/>
      <c r="CJ58" s="92"/>
      <c r="CN58" s="94"/>
      <c r="CR58" s="92"/>
      <c r="CV58" s="94"/>
      <c r="CZ58" s="92"/>
      <c r="DD58" s="94"/>
      <c r="DH58" s="92"/>
      <c r="DL58" s="94"/>
      <c r="DP58" s="92"/>
      <c r="DT58" s="94"/>
      <c r="DX58" s="92"/>
      <c r="EB58" s="94"/>
      <c r="EF58" s="92"/>
      <c r="EJ58" s="94"/>
      <c r="EN58" s="92"/>
      <c r="ER58" s="94"/>
      <c r="EV58" s="92"/>
      <c r="EZ58" s="94"/>
      <c r="FD58" s="92"/>
      <c r="FH58" s="94"/>
      <c r="FL58" s="92"/>
      <c r="FP58" s="94"/>
      <c r="FT58" s="92"/>
      <c r="FX58" s="94"/>
      <c r="GB58" s="92"/>
      <c r="GF58" s="94"/>
      <c r="GJ58" s="92"/>
      <c r="GN58" s="94"/>
      <c r="GR58" s="92"/>
      <c r="GV58" s="94"/>
      <c r="GZ58" s="92"/>
      <c r="HD58" s="94"/>
      <c r="HH58" s="92"/>
      <c r="HL58" s="94"/>
      <c r="HP58" s="92"/>
      <c r="HT58" s="94"/>
      <c r="HX58" s="92"/>
      <c r="IB58" s="94"/>
      <c r="IF58" s="92"/>
      <c r="IJ58" s="94"/>
      <c r="IN58" s="92"/>
      <c r="IR58" s="94"/>
    </row>
    <row r="59" spans="4:252" s="12" customFormat="1" ht="16.5" hidden="1" thickBot="1">
      <c r="D59" s="92"/>
      <c r="E59" s="20" t="s">
        <v>43</v>
      </c>
      <c r="F59" s="20">
        <v>1.8</v>
      </c>
      <c r="G59" s="20" t="s">
        <v>44</v>
      </c>
      <c r="H59" s="93">
        <v>2.7</v>
      </c>
      <c r="J59" s="154">
        <v>0.1</v>
      </c>
      <c r="K59" s="155">
        <v>0</v>
      </c>
      <c r="L59" s="153">
        <f t="shared" si="0"/>
        <v>0</v>
      </c>
      <c r="M59" s="175">
        <f>IF(puntosproljor&lt;620,W59,S59)</f>
        <v>0</v>
      </c>
      <c r="N59" s="176">
        <v>0</v>
      </c>
      <c r="O59" s="201">
        <v>0</v>
      </c>
      <c r="P59" s="202">
        <v>0</v>
      </c>
      <c r="Q59" s="203">
        <v>0</v>
      </c>
      <c r="R59" s="204">
        <v>0</v>
      </c>
      <c r="S59" s="19">
        <v>0</v>
      </c>
      <c r="T59" s="205">
        <f aca="true" t="shared" si="1" ref="T59:T69">IF(punbasjub&lt;1170,N59,O59)</f>
        <v>0</v>
      </c>
      <c r="U59" s="205">
        <f aca="true" t="shared" si="2" ref="U59:U69">IF(punbasjub&lt;1401,T59,P59)</f>
        <v>0</v>
      </c>
      <c r="V59" s="205">
        <f aca="true" t="shared" si="3" ref="V59:V69">IF(punbasjub&lt;1943,U59,Q59)</f>
        <v>0</v>
      </c>
      <c r="W59" s="205">
        <f aca="true" t="shared" si="4" ref="W59:W69">IF(punbasjub&lt;=2220,V59,R59)</f>
        <v>0</v>
      </c>
      <c r="X59" s="92"/>
      <c r="Y59" s="183" t="s">
        <v>408</v>
      </c>
      <c r="Z59" s="184">
        <v>0</v>
      </c>
      <c r="AB59" s="94"/>
      <c r="AF59" s="92"/>
      <c r="AJ59" s="94"/>
      <c r="AN59" s="92"/>
      <c r="AR59" s="94"/>
      <c r="AV59" s="92"/>
      <c r="AZ59" s="94"/>
      <c r="BD59" s="92"/>
      <c r="BH59" s="94"/>
      <c r="BL59" s="92"/>
      <c r="BP59" s="94"/>
      <c r="BT59" s="92"/>
      <c r="BX59" s="94"/>
      <c r="CB59" s="92"/>
      <c r="CF59" s="94"/>
      <c r="CJ59" s="92"/>
      <c r="CN59" s="94"/>
      <c r="CR59" s="92"/>
      <c r="CV59" s="94"/>
      <c r="CZ59" s="92"/>
      <c r="DD59" s="94"/>
      <c r="DH59" s="92"/>
      <c r="DL59" s="94"/>
      <c r="DP59" s="92"/>
      <c r="DT59" s="94"/>
      <c r="DX59" s="92"/>
      <c r="EB59" s="94"/>
      <c r="EF59" s="92"/>
      <c r="EJ59" s="94"/>
      <c r="EN59" s="92"/>
      <c r="ER59" s="94"/>
      <c r="EV59" s="92"/>
      <c r="EZ59" s="94"/>
      <c r="FD59" s="92"/>
      <c r="FH59" s="94"/>
      <c r="FL59" s="92"/>
      <c r="FP59" s="94"/>
      <c r="FT59" s="92"/>
      <c r="FX59" s="94"/>
      <c r="GB59" s="92"/>
      <c r="GF59" s="94"/>
      <c r="GJ59" s="92"/>
      <c r="GN59" s="94"/>
      <c r="GR59" s="92"/>
      <c r="GV59" s="94"/>
      <c r="GZ59" s="92"/>
      <c r="HD59" s="94"/>
      <c r="HH59" s="92"/>
      <c r="HL59" s="94"/>
      <c r="HP59" s="92"/>
      <c r="HT59" s="94"/>
      <c r="HX59" s="92"/>
      <c r="IB59" s="94"/>
      <c r="IF59" s="92"/>
      <c r="IJ59" s="94"/>
      <c r="IN59" s="92"/>
      <c r="IR59" s="94"/>
    </row>
    <row r="60" spans="4:26" ht="16.5" hidden="1" thickBot="1">
      <c r="D60" s="2"/>
      <c r="E60" s="20" t="s">
        <v>45</v>
      </c>
      <c r="F60" s="20">
        <v>3.528</v>
      </c>
      <c r="G60" s="49" t="s">
        <v>46</v>
      </c>
      <c r="H60" s="20">
        <v>3.528</v>
      </c>
      <c r="I60" s="2"/>
      <c r="J60" s="156">
        <v>0.15</v>
      </c>
      <c r="K60" s="157">
        <v>58</v>
      </c>
      <c r="L60" s="160">
        <f t="shared" si="0"/>
        <v>87</v>
      </c>
      <c r="M60" s="175">
        <f>IF(puntosproljor&lt;620,W60,S60)</f>
        <v>100</v>
      </c>
      <c r="N60" s="176">
        <v>100</v>
      </c>
      <c r="O60" s="206">
        <v>160</v>
      </c>
      <c r="P60" s="207">
        <v>113</v>
      </c>
      <c r="Q60" s="208">
        <v>100</v>
      </c>
      <c r="R60" s="204">
        <v>0</v>
      </c>
      <c r="S60" s="19">
        <v>140</v>
      </c>
      <c r="T60" s="205">
        <f t="shared" si="1"/>
        <v>100</v>
      </c>
      <c r="U60" s="205">
        <f t="shared" si="2"/>
        <v>100</v>
      </c>
      <c r="V60" s="205">
        <f t="shared" si="3"/>
        <v>100</v>
      </c>
      <c r="W60" s="205">
        <f t="shared" si="4"/>
        <v>100</v>
      </c>
      <c r="Y60" s="185" t="s">
        <v>409</v>
      </c>
      <c r="Z60" s="186">
        <v>0</v>
      </c>
    </row>
    <row r="61" spans="4:28" ht="16.5" hidden="1" thickBot="1">
      <c r="D61" s="2"/>
      <c r="E61" s="20" t="s">
        <v>47</v>
      </c>
      <c r="F61" s="20">
        <v>2.51</v>
      </c>
      <c r="G61" s="49" t="s">
        <v>48</v>
      </c>
      <c r="H61" s="20">
        <v>2.51</v>
      </c>
      <c r="I61" s="2"/>
      <c r="J61" s="156">
        <v>0.3</v>
      </c>
      <c r="K61" s="157">
        <v>58</v>
      </c>
      <c r="L61" s="160">
        <f t="shared" si="0"/>
        <v>87</v>
      </c>
      <c r="M61" s="175">
        <f aca="true" t="shared" si="5" ref="M61:M69">IF(puntosproljor&lt;620,W61,S61)</f>
        <v>115</v>
      </c>
      <c r="N61" s="176">
        <v>115</v>
      </c>
      <c r="O61" s="206">
        <v>160</v>
      </c>
      <c r="P61" s="207">
        <v>113</v>
      </c>
      <c r="Q61" s="208">
        <v>100</v>
      </c>
      <c r="R61" s="204">
        <v>0</v>
      </c>
      <c r="S61" s="19">
        <v>270</v>
      </c>
      <c r="T61" s="205">
        <f t="shared" si="1"/>
        <v>115</v>
      </c>
      <c r="U61" s="205">
        <f t="shared" si="2"/>
        <v>115</v>
      </c>
      <c r="V61" s="205">
        <f t="shared" si="3"/>
        <v>115</v>
      </c>
      <c r="W61" s="205">
        <f t="shared" si="4"/>
        <v>115</v>
      </c>
      <c r="Y61" s="185" t="s">
        <v>410</v>
      </c>
      <c r="Z61" s="187">
        <f>LOOKUP(E115,J58:J69,M58:M69)</f>
        <v>430</v>
      </c>
      <c r="AA61" s="185" t="s">
        <v>465</v>
      </c>
      <c r="AB61" s="187">
        <f>LOOKUP(E115,L72:L83,M72:M83)</f>
        <v>526</v>
      </c>
    </row>
    <row r="62" spans="1:28" ht="16.5" hidden="1" thickBot="1">
      <c r="A62" s="2"/>
      <c r="B62" s="2"/>
      <c r="C62" s="2"/>
      <c r="D62" s="2"/>
      <c r="E62" s="12"/>
      <c r="F62" s="12"/>
      <c r="G62" s="161" t="s">
        <v>400</v>
      </c>
      <c r="H62" s="163">
        <v>0</v>
      </c>
      <c r="I62" s="2"/>
      <c r="J62" s="156">
        <v>0.4</v>
      </c>
      <c r="K62" s="157">
        <v>58</v>
      </c>
      <c r="L62" s="160">
        <f t="shared" si="0"/>
        <v>87</v>
      </c>
      <c r="M62" s="175">
        <f t="shared" si="5"/>
        <v>130</v>
      </c>
      <c r="N62" s="176">
        <v>130</v>
      </c>
      <c r="O62" s="206">
        <v>170</v>
      </c>
      <c r="P62" s="207">
        <v>120</v>
      </c>
      <c r="Q62" s="208">
        <v>100</v>
      </c>
      <c r="R62" s="204">
        <v>60</v>
      </c>
      <c r="S62" s="19">
        <v>320</v>
      </c>
      <c r="T62" s="205">
        <f t="shared" si="1"/>
        <v>130</v>
      </c>
      <c r="U62" s="205">
        <f t="shared" si="2"/>
        <v>130</v>
      </c>
      <c r="V62" s="205">
        <f t="shared" si="3"/>
        <v>130</v>
      </c>
      <c r="W62" s="205">
        <f t="shared" si="4"/>
        <v>130</v>
      </c>
      <c r="Y62" s="185" t="s">
        <v>411</v>
      </c>
      <c r="Z62" s="186">
        <v>0.55</v>
      </c>
      <c r="AA62" s="185" t="s">
        <v>461</v>
      </c>
      <c r="AB62" s="186">
        <v>0.55</v>
      </c>
    </row>
    <row r="63" spans="1:26" ht="16.5" hidden="1" thickBot="1">
      <c r="A63" s="57"/>
      <c r="B63" s="57"/>
      <c r="C63" s="57"/>
      <c r="D63" s="57"/>
      <c r="E63" s="57"/>
      <c r="F63" s="57"/>
      <c r="G63" s="162" t="s">
        <v>401</v>
      </c>
      <c r="H63" s="164">
        <v>0.5</v>
      </c>
      <c r="I63" s="57"/>
      <c r="J63" s="156">
        <v>0.5</v>
      </c>
      <c r="K63" s="157">
        <v>68</v>
      </c>
      <c r="L63" s="160">
        <f t="shared" si="0"/>
        <v>102</v>
      </c>
      <c r="M63" s="175">
        <f t="shared" si="5"/>
        <v>150</v>
      </c>
      <c r="N63" s="176">
        <v>150</v>
      </c>
      <c r="O63" s="206">
        <v>170</v>
      </c>
      <c r="P63" s="178">
        <v>120</v>
      </c>
      <c r="Q63" s="208">
        <v>100</v>
      </c>
      <c r="R63" s="204">
        <v>60</v>
      </c>
      <c r="S63" s="19">
        <v>355</v>
      </c>
      <c r="T63" s="205">
        <f t="shared" si="1"/>
        <v>150</v>
      </c>
      <c r="U63" s="205">
        <f t="shared" si="2"/>
        <v>150</v>
      </c>
      <c r="V63" s="205">
        <f t="shared" si="3"/>
        <v>150</v>
      </c>
      <c r="W63" s="205">
        <f t="shared" si="4"/>
        <v>150</v>
      </c>
      <c r="Y63" s="188" t="s">
        <v>412</v>
      </c>
      <c r="Z63" s="189">
        <v>0</v>
      </c>
    </row>
    <row r="64" spans="1:26" ht="16.5" hidden="1" thickBot="1">
      <c r="A64" s="228"/>
      <c r="B64" s="228"/>
      <c r="C64" s="228"/>
      <c r="D64" s="228"/>
      <c r="E64" s="228"/>
      <c r="F64" s="228"/>
      <c r="G64" s="227"/>
      <c r="H64" s="228"/>
      <c r="I64" s="2"/>
      <c r="J64" s="156">
        <v>0.6</v>
      </c>
      <c r="K64" s="157">
        <v>74</v>
      </c>
      <c r="L64" s="160">
        <f t="shared" si="0"/>
        <v>111</v>
      </c>
      <c r="M64" s="175">
        <f t="shared" si="5"/>
        <v>180</v>
      </c>
      <c r="N64" s="176">
        <v>180</v>
      </c>
      <c r="O64" s="206">
        <v>180</v>
      </c>
      <c r="P64" s="178">
        <v>123</v>
      </c>
      <c r="Q64" s="208">
        <v>110</v>
      </c>
      <c r="R64" s="204">
        <v>80</v>
      </c>
      <c r="S64" s="19">
        <v>370</v>
      </c>
      <c r="T64" s="205">
        <f t="shared" si="1"/>
        <v>180</v>
      </c>
      <c r="U64" s="205">
        <f t="shared" si="2"/>
        <v>180</v>
      </c>
      <c r="V64" s="205">
        <f t="shared" si="3"/>
        <v>180</v>
      </c>
      <c r="W64" s="205">
        <f t="shared" si="4"/>
        <v>180</v>
      </c>
      <c r="Y64" s="190" t="s">
        <v>413</v>
      </c>
      <c r="Z64" s="191">
        <f>IF(punproljor&lt;620,Z65,salminjorcom)</f>
        <v>1040</v>
      </c>
    </row>
    <row r="65" spans="10:26" ht="16.5" hidden="1" thickBot="1">
      <c r="J65" s="156">
        <v>0.7</v>
      </c>
      <c r="K65" s="157">
        <v>74</v>
      </c>
      <c r="L65" s="160">
        <f t="shared" si="0"/>
        <v>111</v>
      </c>
      <c r="M65" s="175">
        <f t="shared" si="5"/>
        <v>205</v>
      </c>
      <c r="N65" s="176">
        <v>205</v>
      </c>
      <c r="O65" s="206">
        <v>205</v>
      </c>
      <c r="P65" s="178">
        <v>150</v>
      </c>
      <c r="Q65" s="208">
        <v>110</v>
      </c>
      <c r="R65" s="204">
        <v>80</v>
      </c>
      <c r="S65" s="19">
        <v>385</v>
      </c>
      <c r="T65" s="205">
        <f t="shared" si="1"/>
        <v>205</v>
      </c>
      <c r="U65" s="205">
        <f t="shared" si="2"/>
        <v>205</v>
      </c>
      <c r="V65" s="205">
        <f t="shared" si="3"/>
        <v>205</v>
      </c>
      <c r="W65" s="205">
        <f t="shared" si="4"/>
        <v>205</v>
      </c>
      <c r="Y65" s="14" t="s">
        <v>414</v>
      </c>
      <c r="Z65" s="85">
        <v>1040</v>
      </c>
    </row>
    <row r="66" spans="9:26" ht="16.5" hidden="1" thickBot="1">
      <c r="I66" s="2"/>
      <c r="J66" s="156">
        <v>0.8</v>
      </c>
      <c r="K66" s="157">
        <v>80</v>
      </c>
      <c r="L66" s="160">
        <f t="shared" si="0"/>
        <v>120</v>
      </c>
      <c r="M66" s="175">
        <f t="shared" si="5"/>
        <v>265</v>
      </c>
      <c r="N66" s="176">
        <v>265</v>
      </c>
      <c r="O66" s="177">
        <v>315</v>
      </c>
      <c r="P66" s="178">
        <v>260</v>
      </c>
      <c r="Q66" s="209">
        <v>200</v>
      </c>
      <c r="R66" s="19">
        <v>100</v>
      </c>
      <c r="S66" s="19">
        <v>395</v>
      </c>
      <c r="T66" s="205">
        <f t="shared" si="1"/>
        <v>265</v>
      </c>
      <c r="U66" s="205">
        <f t="shared" si="2"/>
        <v>265</v>
      </c>
      <c r="V66" s="205">
        <f t="shared" si="3"/>
        <v>265</v>
      </c>
      <c r="W66" s="205">
        <f t="shared" si="4"/>
        <v>265</v>
      </c>
      <c r="Y66" s="14" t="s">
        <v>415</v>
      </c>
      <c r="Z66" s="130">
        <v>1320</v>
      </c>
    </row>
    <row r="67" spans="9:26" ht="16.5" hidden="1" thickBot="1">
      <c r="I67" s="2"/>
      <c r="J67" s="156">
        <v>1</v>
      </c>
      <c r="K67" s="157">
        <v>80</v>
      </c>
      <c r="L67" s="160">
        <f t="shared" si="0"/>
        <v>120</v>
      </c>
      <c r="M67" s="175">
        <f t="shared" si="5"/>
        <v>355</v>
      </c>
      <c r="N67" s="176">
        <v>355</v>
      </c>
      <c r="O67" s="177">
        <v>330</v>
      </c>
      <c r="P67" s="178">
        <v>250</v>
      </c>
      <c r="Q67" s="209">
        <v>230</v>
      </c>
      <c r="R67" s="19">
        <v>100</v>
      </c>
      <c r="S67" s="19">
        <v>410</v>
      </c>
      <c r="T67" s="205">
        <f t="shared" si="1"/>
        <v>355</v>
      </c>
      <c r="U67" s="205">
        <f t="shared" si="2"/>
        <v>355</v>
      </c>
      <c r="V67" s="205">
        <f t="shared" si="3"/>
        <v>355</v>
      </c>
      <c r="W67" s="205">
        <f t="shared" si="4"/>
        <v>355</v>
      </c>
      <c r="Z67" s="48"/>
    </row>
    <row r="68" spans="9:26" ht="16.5" hidden="1" thickBot="1">
      <c r="I68" s="2"/>
      <c r="J68" s="156">
        <v>1.1</v>
      </c>
      <c r="K68" s="157">
        <v>84</v>
      </c>
      <c r="L68" s="160">
        <f t="shared" si="0"/>
        <v>126</v>
      </c>
      <c r="M68" s="175">
        <f t="shared" si="5"/>
        <v>415</v>
      </c>
      <c r="N68" s="176">
        <v>415</v>
      </c>
      <c r="O68" s="177">
        <v>350</v>
      </c>
      <c r="P68" s="178">
        <v>250</v>
      </c>
      <c r="Q68" s="209">
        <v>240</v>
      </c>
      <c r="R68" s="19">
        <v>110</v>
      </c>
      <c r="S68" s="19">
        <v>425</v>
      </c>
      <c r="T68" s="205">
        <f t="shared" si="1"/>
        <v>415</v>
      </c>
      <c r="U68" s="205">
        <f t="shared" si="2"/>
        <v>415</v>
      </c>
      <c r="V68" s="205">
        <f t="shared" si="3"/>
        <v>415</v>
      </c>
      <c r="W68" s="205">
        <f t="shared" si="4"/>
        <v>415</v>
      </c>
      <c r="Y68" s="11" t="s">
        <v>416</v>
      </c>
      <c r="Z68" s="48"/>
    </row>
    <row r="69" spans="9:26" ht="16.5" hidden="1" thickBot="1">
      <c r="I69" s="2"/>
      <c r="J69" s="158">
        <v>1.2</v>
      </c>
      <c r="K69" s="159">
        <v>84</v>
      </c>
      <c r="L69" s="160">
        <f t="shared" si="0"/>
        <v>126</v>
      </c>
      <c r="M69" s="175">
        <f t="shared" si="5"/>
        <v>430</v>
      </c>
      <c r="N69" s="176">
        <v>430</v>
      </c>
      <c r="O69" s="177">
        <v>400</v>
      </c>
      <c r="P69" s="178">
        <v>255</v>
      </c>
      <c r="Q69" s="209">
        <v>250</v>
      </c>
      <c r="R69" s="19">
        <v>110</v>
      </c>
      <c r="S69" s="19">
        <v>430</v>
      </c>
      <c r="T69" s="205">
        <f t="shared" si="1"/>
        <v>430</v>
      </c>
      <c r="U69" s="205">
        <f t="shared" si="2"/>
        <v>430</v>
      </c>
      <c r="V69" s="205">
        <f t="shared" si="3"/>
        <v>430</v>
      </c>
      <c r="W69" s="205">
        <f t="shared" si="4"/>
        <v>430</v>
      </c>
      <c r="Y69" s="183" t="s">
        <v>417</v>
      </c>
      <c r="Z69" s="184">
        <v>0</v>
      </c>
    </row>
    <row r="70" spans="9:26" ht="15.75" hidden="1">
      <c r="I70" s="2"/>
      <c r="J70" s="2"/>
      <c r="K70" s="2"/>
      <c r="Y70" s="168" t="s">
        <v>418</v>
      </c>
      <c r="Z70" s="189">
        <v>0</v>
      </c>
    </row>
    <row r="71" spans="9:28" ht="16.5" hidden="1" thickBot="1">
      <c r="I71" s="2"/>
      <c r="J71" s="2"/>
      <c r="K71" s="2"/>
      <c r="Y71" s="168" t="s">
        <v>419</v>
      </c>
      <c r="Z71" s="189">
        <v>8.1</v>
      </c>
      <c r="AA71" s="168" t="s">
        <v>462</v>
      </c>
      <c r="AB71" s="189">
        <v>9.1</v>
      </c>
    </row>
    <row r="72" spans="9:26" ht="16.5" hidden="1" thickBot="1">
      <c r="I72" s="2"/>
      <c r="J72" s="2"/>
      <c r="K72" s="2"/>
      <c r="L72" s="151">
        <v>0</v>
      </c>
      <c r="M72" s="175">
        <f>IF(puntosproljor&lt;620,W72,S72)</f>
        <v>80</v>
      </c>
      <c r="N72" s="176">
        <v>80</v>
      </c>
      <c r="O72" s="201">
        <v>0</v>
      </c>
      <c r="P72" s="202">
        <v>0</v>
      </c>
      <c r="Q72" s="203">
        <v>0</v>
      </c>
      <c r="R72" s="204">
        <v>0</v>
      </c>
      <c r="S72" s="19">
        <v>0</v>
      </c>
      <c r="T72" s="205">
        <f>IF(punbasjub&lt;1170,N72,O72)</f>
        <v>80</v>
      </c>
      <c r="U72" s="205">
        <f>IF(punbasjub&lt;1401,T72,P72)</f>
        <v>80</v>
      </c>
      <c r="V72" s="205">
        <f>IF(punbasjub&lt;1943,U72,Q72)</f>
        <v>80</v>
      </c>
      <c r="W72" s="205">
        <f>IF(punbasjub&lt;=2220,V72,R72)</f>
        <v>80</v>
      </c>
      <c r="Y72" s="192" t="s">
        <v>420</v>
      </c>
      <c r="Z72" s="193">
        <v>0</v>
      </c>
    </row>
    <row r="73" spans="9:26" ht="16.5" hidden="1" thickBot="1">
      <c r="I73" s="2"/>
      <c r="J73" s="2"/>
      <c r="K73" s="2"/>
      <c r="L73" s="154">
        <v>0.1</v>
      </c>
      <c r="M73" s="175">
        <f>IF(puntosproljor&lt;620,W73,S73)</f>
        <v>90</v>
      </c>
      <c r="N73" s="176">
        <v>90</v>
      </c>
      <c r="O73" s="201">
        <v>0</v>
      </c>
      <c r="P73" s="202">
        <v>0</v>
      </c>
      <c r="Q73" s="203">
        <v>0</v>
      </c>
      <c r="R73" s="204">
        <v>0</v>
      </c>
      <c r="S73" s="19">
        <v>0</v>
      </c>
      <c r="T73" s="205">
        <f aca="true" t="shared" si="6" ref="T73:T83">IF(punbasjub&lt;1170,N73,O73)</f>
        <v>90</v>
      </c>
      <c r="U73" s="205">
        <f aca="true" t="shared" si="7" ref="U73:U83">IF(punbasjub&lt;1401,T73,P73)</f>
        <v>90</v>
      </c>
      <c r="V73" s="205">
        <f aca="true" t="shared" si="8" ref="V73:V83">IF(punbasjub&lt;1943,U73,Q73)</f>
        <v>90</v>
      </c>
      <c r="W73" s="205">
        <f aca="true" t="shared" si="9" ref="W73:W83">IF(punbasjub&lt;=2220,V73,R73)</f>
        <v>90</v>
      </c>
      <c r="Z73" s="48"/>
    </row>
    <row r="74" spans="9:26" ht="16.5" hidden="1" thickBot="1">
      <c r="I74" s="2"/>
      <c r="J74" s="2"/>
      <c r="K74" s="2"/>
      <c r="L74" s="156">
        <v>0.15</v>
      </c>
      <c r="M74" s="175">
        <f>IF(puntosproljor&lt;620,W74,S74)</f>
        <v>180</v>
      </c>
      <c r="N74" s="176">
        <v>180</v>
      </c>
      <c r="O74" s="206">
        <v>240</v>
      </c>
      <c r="P74" s="207">
        <v>193</v>
      </c>
      <c r="Q74" s="208">
        <v>180</v>
      </c>
      <c r="R74" s="204">
        <v>0</v>
      </c>
      <c r="S74" s="19">
        <v>220</v>
      </c>
      <c r="T74" s="205">
        <f t="shared" si="6"/>
        <v>180</v>
      </c>
      <c r="U74" s="205">
        <f t="shared" si="7"/>
        <v>180</v>
      </c>
      <c r="V74" s="205">
        <f t="shared" si="8"/>
        <v>180</v>
      </c>
      <c r="W74" s="205">
        <f t="shared" si="9"/>
        <v>180</v>
      </c>
      <c r="Y74" s="11" t="s">
        <v>421</v>
      </c>
      <c r="Z74" s="48"/>
    </row>
    <row r="75" spans="9:26" ht="16.5" hidden="1" thickBot="1">
      <c r="I75" s="2"/>
      <c r="J75" s="2"/>
      <c r="K75" s="2"/>
      <c r="L75" s="156">
        <v>0.3</v>
      </c>
      <c r="M75" s="175">
        <f aca="true" t="shared" si="10" ref="M75:M83">IF(puntosproljor&lt;620,W75,S75)</f>
        <v>195</v>
      </c>
      <c r="N75" s="176">
        <v>195</v>
      </c>
      <c r="O75" s="206">
        <v>240</v>
      </c>
      <c r="P75" s="207">
        <v>193</v>
      </c>
      <c r="Q75" s="208">
        <v>180</v>
      </c>
      <c r="R75" s="204">
        <v>0</v>
      </c>
      <c r="S75" s="19">
        <v>350</v>
      </c>
      <c r="T75" s="205">
        <f t="shared" si="6"/>
        <v>195</v>
      </c>
      <c r="U75" s="205">
        <f t="shared" si="7"/>
        <v>195</v>
      </c>
      <c r="V75" s="205">
        <f t="shared" si="8"/>
        <v>195</v>
      </c>
      <c r="W75" s="205">
        <f t="shared" si="9"/>
        <v>195</v>
      </c>
      <c r="Y75" s="183" t="s">
        <v>422</v>
      </c>
      <c r="Z75" s="184">
        <v>0</v>
      </c>
    </row>
    <row r="76" spans="1:26" ht="16.5" hidden="1" thickBot="1">
      <c r="A76" s="226"/>
      <c r="B76" s="227"/>
      <c r="C76" s="228"/>
      <c r="D76" s="228"/>
      <c r="E76" s="228"/>
      <c r="F76" s="228"/>
      <c r="G76" s="227"/>
      <c r="H76" s="228"/>
      <c r="I76" s="2"/>
      <c r="J76" s="2"/>
      <c r="K76" s="2"/>
      <c r="L76" s="156">
        <v>0.4</v>
      </c>
      <c r="M76" s="175">
        <f t="shared" si="10"/>
        <v>210</v>
      </c>
      <c r="N76" s="176">
        <v>210</v>
      </c>
      <c r="O76" s="206">
        <v>250</v>
      </c>
      <c r="P76" s="207">
        <v>200</v>
      </c>
      <c r="Q76" s="208">
        <v>180</v>
      </c>
      <c r="R76" s="204">
        <v>140</v>
      </c>
      <c r="S76" s="19">
        <v>400</v>
      </c>
      <c r="T76" s="205">
        <f t="shared" si="6"/>
        <v>210</v>
      </c>
      <c r="U76" s="205">
        <f t="shared" si="7"/>
        <v>210</v>
      </c>
      <c r="V76" s="205">
        <f t="shared" si="8"/>
        <v>210</v>
      </c>
      <c r="W76" s="205">
        <f t="shared" si="9"/>
        <v>210</v>
      </c>
      <c r="Y76" s="168" t="s">
        <v>423</v>
      </c>
      <c r="Z76" s="189">
        <v>0</v>
      </c>
    </row>
    <row r="77" spans="1:28" ht="16.5" hidden="1" thickBot="1">
      <c r="A77" s="226"/>
      <c r="B77" s="227"/>
      <c r="C77" s="228"/>
      <c r="D77" s="228"/>
      <c r="E77" s="228"/>
      <c r="F77" s="228"/>
      <c r="G77" s="227"/>
      <c r="H77" s="228"/>
      <c r="I77" s="2"/>
      <c r="J77" s="2"/>
      <c r="K77" s="2"/>
      <c r="L77" s="156">
        <v>0.5</v>
      </c>
      <c r="M77" s="175">
        <f t="shared" si="10"/>
        <v>234</v>
      </c>
      <c r="N77" s="176">
        <v>234</v>
      </c>
      <c r="O77" s="206">
        <v>250</v>
      </c>
      <c r="P77" s="178">
        <v>200</v>
      </c>
      <c r="Q77" s="208">
        <v>180</v>
      </c>
      <c r="R77" s="204">
        <v>140</v>
      </c>
      <c r="S77" s="19">
        <v>435</v>
      </c>
      <c r="T77" s="205">
        <f t="shared" si="6"/>
        <v>234</v>
      </c>
      <c r="U77" s="205">
        <f t="shared" si="7"/>
        <v>234</v>
      </c>
      <c r="V77" s="205">
        <f t="shared" si="8"/>
        <v>234</v>
      </c>
      <c r="W77" s="205">
        <f t="shared" si="9"/>
        <v>234</v>
      </c>
      <c r="Y77" s="168" t="s">
        <v>424</v>
      </c>
      <c r="Z77" s="189">
        <v>8.1</v>
      </c>
      <c r="AA77" s="168" t="s">
        <v>463</v>
      </c>
      <c r="AB77" s="189">
        <v>9.1</v>
      </c>
    </row>
    <row r="78" spans="1:26" ht="16.5" hidden="1" thickBot="1">
      <c r="A78" s="226"/>
      <c r="B78" s="227"/>
      <c r="C78" s="228"/>
      <c r="D78" s="228"/>
      <c r="E78" s="228"/>
      <c r="F78" s="228"/>
      <c r="G78" s="227"/>
      <c r="H78" s="228"/>
      <c r="I78" s="2"/>
      <c r="J78" s="2"/>
      <c r="K78" s="2"/>
      <c r="L78" s="156">
        <v>0.6</v>
      </c>
      <c r="M78" s="175">
        <f t="shared" si="10"/>
        <v>264</v>
      </c>
      <c r="N78" s="176">
        <v>264</v>
      </c>
      <c r="O78" s="206">
        <v>260</v>
      </c>
      <c r="P78" s="178">
        <v>203</v>
      </c>
      <c r="Q78" s="208">
        <v>190</v>
      </c>
      <c r="R78" s="204">
        <v>160</v>
      </c>
      <c r="S78" s="19">
        <v>450</v>
      </c>
      <c r="T78" s="205">
        <f t="shared" si="6"/>
        <v>264</v>
      </c>
      <c r="U78" s="205">
        <f t="shared" si="7"/>
        <v>264</v>
      </c>
      <c r="V78" s="205">
        <f t="shared" si="8"/>
        <v>264</v>
      </c>
      <c r="W78" s="205">
        <f t="shared" si="9"/>
        <v>264</v>
      </c>
      <c r="Y78" s="192" t="s">
        <v>425</v>
      </c>
      <c r="Z78" s="193">
        <v>0</v>
      </c>
    </row>
    <row r="79" spans="1:26" ht="16.5" hidden="1" thickBot="1">
      <c r="A79" s="226"/>
      <c r="B79" s="227"/>
      <c r="C79" s="228"/>
      <c r="D79" s="228"/>
      <c r="E79" s="228"/>
      <c r="F79" s="228"/>
      <c r="G79" s="227"/>
      <c r="H79" s="228"/>
      <c r="I79" s="2"/>
      <c r="J79" s="2"/>
      <c r="K79" s="2"/>
      <c r="L79" s="156">
        <v>0.7</v>
      </c>
      <c r="M79" s="175">
        <f t="shared" si="10"/>
        <v>289</v>
      </c>
      <c r="N79" s="176">
        <v>289</v>
      </c>
      <c r="O79" s="206">
        <v>285</v>
      </c>
      <c r="P79" s="178">
        <v>230</v>
      </c>
      <c r="Q79" s="208">
        <v>190</v>
      </c>
      <c r="R79" s="204">
        <v>160</v>
      </c>
      <c r="S79" s="19">
        <v>465</v>
      </c>
      <c r="T79" s="205">
        <f t="shared" si="6"/>
        <v>289</v>
      </c>
      <c r="U79" s="205">
        <f t="shared" si="7"/>
        <v>289</v>
      </c>
      <c r="V79" s="205">
        <f t="shared" si="8"/>
        <v>289</v>
      </c>
      <c r="W79" s="205">
        <f t="shared" si="9"/>
        <v>289</v>
      </c>
      <c r="Y79" s="12"/>
      <c r="Z79" s="318"/>
    </row>
    <row r="80" spans="1:26" ht="16.5" hidden="1" thickBot="1">
      <c r="A80" s="226"/>
      <c r="B80" s="227"/>
      <c r="C80" s="228"/>
      <c r="D80" s="228"/>
      <c r="E80" s="228"/>
      <c r="F80" s="228"/>
      <c r="G80" s="227"/>
      <c r="H80" s="228"/>
      <c r="I80" s="2"/>
      <c r="J80" s="2"/>
      <c r="K80" s="2"/>
      <c r="L80" s="156">
        <v>0.8</v>
      </c>
      <c r="M80" s="175">
        <f t="shared" si="10"/>
        <v>361</v>
      </c>
      <c r="N80" s="176">
        <v>361</v>
      </c>
      <c r="O80" s="177">
        <v>395</v>
      </c>
      <c r="P80" s="178">
        <v>340</v>
      </c>
      <c r="Q80" s="209">
        <v>280</v>
      </c>
      <c r="R80" s="19">
        <v>180</v>
      </c>
      <c r="S80" s="19">
        <v>475</v>
      </c>
      <c r="T80" s="205">
        <f t="shared" si="6"/>
        <v>361</v>
      </c>
      <c r="U80" s="205">
        <f t="shared" si="7"/>
        <v>361</v>
      </c>
      <c r="V80" s="205">
        <f t="shared" si="8"/>
        <v>361</v>
      </c>
      <c r="W80" s="205">
        <f t="shared" si="9"/>
        <v>361</v>
      </c>
      <c r="Y80" s="12"/>
      <c r="Z80" s="318"/>
    </row>
    <row r="81" spans="1:26" ht="16.5" hidden="1" thickBot="1">
      <c r="A81" s="226"/>
      <c r="B81" s="227"/>
      <c r="C81" s="228"/>
      <c r="D81" s="228"/>
      <c r="E81" s="228"/>
      <c r="F81" s="228"/>
      <c r="G81" s="227"/>
      <c r="H81" s="228"/>
      <c r="I81" s="2"/>
      <c r="J81" s="2"/>
      <c r="K81" s="2"/>
      <c r="L81" s="156">
        <v>1</v>
      </c>
      <c r="M81" s="175">
        <f t="shared" si="10"/>
        <v>451</v>
      </c>
      <c r="N81" s="176">
        <v>451</v>
      </c>
      <c r="O81" s="177">
        <v>410</v>
      </c>
      <c r="P81" s="178">
        <v>330</v>
      </c>
      <c r="Q81" s="209">
        <v>310</v>
      </c>
      <c r="R81" s="19">
        <v>180</v>
      </c>
      <c r="S81" s="19">
        <v>490</v>
      </c>
      <c r="T81" s="205">
        <f t="shared" si="6"/>
        <v>451</v>
      </c>
      <c r="U81" s="205">
        <f t="shared" si="7"/>
        <v>451</v>
      </c>
      <c r="V81" s="205">
        <f t="shared" si="8"/>
        <v>451</v>
      </c>
      <c r="W81" s="205">
        <f t="shared" si="9"/>
        <v>451</v>
      </c>
      <c r="Y81" s="12"/>
      <c r="Z81" s="318"/>
    </row>
    <row r="82" spans="1:26" ht="16.5" hidden="1" thickBot="1">
      <c r="A82" s="226"/>
      <c r="B82" s="227"/>
      <c r="C82" s="228"/>
      <c r="D82" s="228"/>
      <c r="E82" s="228"/>
      <c r="F82" s="228"/>
      <c r="G82" s="227"/>
      <c r="H82" s="228"/>
      <c r="I82" s="2"/>
      <c r="J82" s="2"/>
      <c r="K82" s="2"/>
      <c r="L82" s="156">
        <v>1.1</v>
      </c>
      <c r="M82" s="175">
        <f t="shared" si="10"/>
        <v>511</v>
      </c>
      <c r="N82" s="176">
        <v>511</v>
      </c>
      <c r="O82" s="177">
        <v>430</v>
      </c>
      <c r="P82" s="178">
        <v>330</v>
      </c>
      <c r="Q82" s="209">
        <v>320</v>
      </c>
      <c r="R82" s="19">
        <v>190</v>
      </c>
      <c r="S82" s="19">
        <v>505</v>
      </c>
      <c r="T82" s="205">
        <f t="shared" si="6"/>
        <v>511</v>
      </c>
      <c r="U82" s="205">
        <f t="shared" si="7"/>
        <v>511</v>
      </c>
      <c r="V82" s="205">
        <f t="shared" si="8"/>
        <v>511</v>
      </c>
      <c r="W82" s="205">
        <f t="shared" si="9"/>
        <v>511</v>
      </c>
      <c r="Y82" s="12"/>
      <c r="Z82" s="318"/>
    </row>
    <row r="83" spans="1:26" ht="16.5" hidden="1" thickBot="1">
      <c r="A83" s="226"/>
      <c r="B83" s="227"/>
      <c r="C83" s="228"/>
      <c r="D83" s="228"/>
      <c r="E83" s="228"/>
      <c r="F83" s="228"/>
      <c r="G83" s="227"/>
      <c r="H83" s="228"/>
      <c r="I83" s="2"/>
      <c r="J83" s="2"/>
      <c r="K83" s="2"/>
      <c r="L83" s="158">
        <v>1.2</v>
      </c>
      <c r="M83" s="175">
        <f t="shared" si="10"/>
        <v>526</v>
      </c>
      <c r="N83" s="176">
        <v>526</v>
      </c>
      <c r="O83" s="177">
        <v>480</v>
      </c>
      <c r="P83" s="178">
        <v>335</v>
      </c>
      <c r="Q83" s="209">
        <v>330</v>
      </c>
      <c r="R83" s="19">
        <v>190</v>
      </c>
      <c r="S83" s="19">
        <v>510</v>
      </c>
      <c r="T83" s="205">
        <f t="shared" si="6"/>
        <v>526</v>
      </c>
      <c r="U83" s="205">
        <f t="shared" si="7"/>
        <v>526</v>
      </c>
      <c r="V83" s="205">
        <f t="shared" si="8"/>
        <v>526</v>
      </c>
      <c r="W83" s="205">
        <f t="shared" si="9"/>
        <v>526</v>
      </c>
      <c r="Y83" s="12"/>
      <c r="Z83" s="318"/>
    </row>
    <row r="84" spans="1:26" ht="15.75" hidden="1">
      <c r="A84" s="226"/>
      <c r="B84" s="227"/>
      <c r="C84" s="228"/>
      <c r="D84" s="228"/>
      <c r="E84" s="228"/>
      <c r="F84" s="228"/>
      <c r="G84" s="227"/>
      <c r="H84" s="228"/>
      <c r="I84" s="2"/>
      <c r="J84" s="2"/>
      <c r="K84" s="2"/>
      <c r="Y84" s="12"/>
      <c r="Z84" s="318"/>
    </row>
    <row r="85" spans="1:26" ht="15.75" hidden="1">
      <c r="A85" s="226"/>
      <c r="B85" s="227"/>
      <c r="C85" s="228"/>
      <c r="D85" s="228"/>
      <c r="E85" s="228"/>
      <c r="F85" s="228"/>
      <c r="G85" s="227"/>
      <c r="H85" s="228"/>
      <c r="I85" s="2"/>
      <c r="J85" s="2"/>
      <c r="K85" s="2"/>
      <c r="Y85" s="12"/>
      <c r="Z85" s="318"/>
    </row>
    <row r="86" spans="1:26" ht="15.75" hidden="1">
      <c r="A86" s="226"/>
      <c r="B86" s="227"/>
      <c r="C86" s="228"/>
      <c r="D86" s="228"/>
      <c r="E86" s="228"/>
      <c r="F86" s="228"/>
      <c r="G86" s="227"/>
      <c r="H86" s="228"/>
      <c r="I86" s="2"/>
      <c r="J86" s="2"/>
      <c r="K86" s="2"/>
      <c r="Y86" s="12"/>
      <c r="Z86" s="318"/>
    </row>
    <row r="87" spans="1:26" ht="15.75" hidden="1">
      <c r="A87" s="226"/>
      <c r="B87" s="227"/>
      <c r="C87" s="228"/>
      <c r="D87" s="228"/>
      <c r="E87" s="228"/>
      <c r="F87" s="228"/>
      <c r="G87" s="227"/>
      <c r="H87" s="228"/>
      <c r="I87" s="2"/>
      <c r="J87" s="2"/>
      <c r="K87" s="2"/>
      <c r="Y87" s="12"/>
      <c r="Z87" s="318"/>
    </row>
    <row r="88" spans="1:26" ht="15.75" hidden="1">
      <c r="A88" s="226"/>
      <c r="B88" s="227"/>
      <c r="C88" s="228"/>
      <c r="D88" s="228"/>
      <c r="E88" s="228"/>
      <c r="F88" s="228"/>
      <c r="G88" s="227"/>
      <c r="H88" s="228"/>
      <c r="I88" s="2"/>
      <c r="J88" s="2"/>
      <c r="K88" s="2"/>
      <c r="Y88" s="12"/>
      <c r="Z88" s="318"/>
    </row>
    <row r="89" spans="1:26" ht="15.75" hidden="1">
      <c r="A89" s="226"/>
      <c r="B89" s="227"/>
      <c r="C89" s="228"/>
      <c r="D89" s="228"/>
      <c r="E89" s="228"/>
      <c r="F89" s="228"/>
      <c r="G89" s="227"/>
      <c r="H89" s="228"/>
      <c r="I89" s="2"/>
      <c r="J89" s="2"/>
      <c r="K89" s="2"/>
      <c r="Y89" s="12"/>
      <c r="Z89" s="318"/>
    </row>
    <row r="90" spans="1:26" ht="15.75">
      <c r="A90" s="226"/>
      <c r="B90" s="227"/>
      <c r="C90" s="228"/>
      <c r="D90" s="228"/>
      <c r="E90" s="228"/>
      <c r="F90" s="228"/>
      <c r="G90" s="227"/>
      <c r="H90" s="228"/>
      <c r="I90" s="2"/>
      <c r="J90" s="2"/>
      <c r="K90" s="2"/>
      <c r="Y90" s="12"/>
      <c r="Z90" s="318"/>
    </row>
    <row r="91" spans="1:26" ht="15.75">
      <c r="A91" s="226"/>
      <c r="B91" s="227"/>
      <c r="C91" s="228"/>
      <c r="D91" s="228"/>
      <c r="E91" s="228"/>
      <c r="F91" s="228"/>
      <c r="G91" s="227"/>
      <c r="H91" s="228"/>
      <c r="I91" s="2"/>
      <c r="J91" s="2"/>
      <c r="K91" s="2"/>
      <c r="Y91" s="12"/>
      <c r="Z91" s="318"/>
    </row>
    <row r="92" spans="1:26" ht="16.5" thickBot="1">
      <c r="A92" s="226"/>
      <c r="B92" s="227"/>
      <c r="C92" s="228"/>
      <c r="D92" s="228"/>
      <c r="E92" s="228"/>
      <c r="F92" s="228"/>
      <c r="G92" s="227"/>
      <c r="H92" s="228"/>
      <c r="I92" s="2"/>
      <c r="J92" s="2"/>
      <c r="K92" s="2"/>
      <c r="Y92" s="12"/>
      <c r="Z92" s="318"/>
    </row>
    <row r="93" spans="1:26" ht="16.5" thickTop="1">
      <c r="A93" s="88" t="s">
        <v>12</v>
      </c>
      <c r="B93" s="89"/>
      <c r="C93" s="90"/>
      <c r="D93" s="228"/>
      <c r="E93" s="228"/>
      <c r="F93" s="228"/>
      <c r="G93" s="227"/>
      <c r="H93" s="228"/>
      <c r="I93" s="2"/>
      <c r="J93" s="2"/>
      <c r="K93" s="2"/>
      <c r="Y93" s="12"/>
      <c r="Z93" s="318"/>
    </row>
    <row r="94" spans="1:26" ht="15.75">
      <c r="A94" s="91" t="s">
        <v>13</v>
      </c>
      <c r="B94" s="58"/>
      <c r="C94" s="59"/>
      <c r="D94" s="228"/>
      <c r="E94" s="228"/>
      <c r="F94" s="228"/>
      <c r="G94" s="227"/>
      <c r="H94" s="228"/>
      <c r="I94" s="2"/>
      <c r="J94" s="2"/>
      <c r="K94" s="2"/>
      <c r="Y94" s="12"/>
      <c r="Z94" s="318"/>
    </row>
    <row r="95" spans="1:26" ht="15.75">
      <c r="A95" s="91" t="s">
        <v>14</v>
      </c>
      <c r="B95" s="58"/>
      <c r="C95" s="59"/>
      <c r="D95" s="228"/>
      <c r="E95" s="228"/>
      <c r="F95" s="228"/>
      <c r="G95" s="227"/>
      <c r="H95" s="228"/>
      <c r="I95" s="2"/>
      <c r="J95" s="2"/>
      <c r="K95" s="2"/>
      <c r="Y95" s="12"/>
      <c r="Z95" s="318"/>
    </row>
    <row r="96" spans="1:26" ht="15.75">
      <c r="A96" s="91" t="s">
        <v>383</v>
      </c>
      <c r="B96" s="58"/>
      <c r="C96" s="59"/>
      <c r="D96" s="228"/>
      <c r="E96" s="228"/>
      <c r="F96" s="228"/>
      <c r="G96" s="227"/>
      <c r="H96" s="228"/>
      <c r="I96" s="2"/>
      <c r="J96" s="2"/>
      <c r="K96" s="2"/>
      <c r="Y96" s="12"/>
      <c r="Z96" s="318"/>
    </row>
    <row r="97" spans="1:26" ht="15.75">
      <c r="A97" s="214" t="s">
        <v>442</v>
      </c>
      <c r="B97" s="58"/>
      <c r="C97" s="59"/>
      <c r="D97" s="228"/>
      <c r="E97" s="228"/>
      <c r="F97" s="228"/>
      <c r="G97" s="227"/>
      <c r="H97" s="228"/>
      <c r="I97" s="2"/>
      <c r="J97" s="2"/>
      <c r="K97" s="2"/>
      <c r="Y97" s="12"/>
      <c r="Z97" s="318"/>
    </row>
    <row r="98" spans="1:26" ht="15.75">
      <c r="A98" s="95" t="s">
        <v>384</v>
      </c>
      <c r="B98" s="58"/>
      <c r="C98" s="59"/>
      <c r="D98" s="228"/>
      <c r="E98" s="228"/>
      <c r="F98" s="228"/>
      <c r="G98" s="227"/>
      <c r="H98" s="228"/>
      <c r="I98" s="2"/>
      <c r="J98" s="2"/>
      <c r="K98" s="2"/>
      <c r="Y98" s="12"/>
      <c r="Z98" s="318"/>
    </row>
    <row r="99" spans="1:26" ht="16.5" thickBot="1">
      <c r="A99" s="211" t="s">
        <v>440</v>
      </c>
      <c r="B99" s="212"/>
      <c r="C99" s="213"/>
      <c r="D99" s="228"/>
      <c r="E99" s="228"/>
      <c r="F99" s="228"/>
      <c r="G99" s="227"/>
      <c r="H99" s="228"/>
      <c r="I99" s="2"/>
      <c r="J99" s="2"/>
      <c r="K99" s="2"/>
      <c r="Y99" s="12"/>
      <c r="Z99" s="318"/>
    </row>
    <row r="100" spans="1:26" ht="16.5" thickTop="1">
      <c r="A100" s="226"/>
      <c r="B100" s="227"/>
      <c r="C100" s="228"/>
      <c r="D100" s="228"/>
      <c r="E100" s="228"/>
      <c r="F100" s="228"/>
      <c r="G100" s="227"/>
      <c r="H100" s="228"/>
      <c r="I100" s="2"/>
      <c r="J100" s="2"/>
      <c r="K100" s="2"/>
      <c r="Y100" s="12"/>
      <c r="Z100" s="318"/>
    </row>
    <row r="101" spans="1:26" ht="20.25">
      <c r="A101" s="228"/>
      <c r="B101" s="229"/>
      <c r="C101" s="96" t="s">
        <v>368</v>
      </c>
      <c r="E101" s="229"/>
      <c r="F101" s="229"/>
      <c r="G101" s="229"/>
      <c r="H101" s="229"/>
      <c r="I101" s="2"/>
      <c r="J101" s="2"/>
      <c r="K101" s="2"/>
      <c r="Y101" s="12"/>
      <c r="Z101" s="318"/>
    </row>
    <row r="102" spans="1:26" ht="15.75">
      <c r="A102" s="228"/>
      <c r="B102" s="228"/>
      <c r="C102" s="228"/>
      <c r="D102" s="228"/>
      <c r="E102" s="228"/>
      <c r="F102" s="228"/>
      <c r="G102" s="227"/>
      <c r="H102" s="228"/>
      <c r="I102" s="2"/>
      <c r="J102" s="2"/>
      <c r="K102" s="2"/>
      <c r="Y102" s="12"/>
      <c r="Z102" s="318"/>
    </row>
    <row r="103" spans="1:26" ht="15.75">
      <c r="A103" s="49" t="s">
        <v>53</v>
      </c>
      <c r="B103" s="49" t="s">
        <v>357</v>
      </c>
      <c r="C103" s="49" t="s">
        <v>358</v>
      </c>
      <c r="D103" s="49" t="s">
        <v>359</v>
      </c>
      <c r="E103" s="49" t="s">
        <v>360</v>
      </c>
      <c r="F103" s="228"/>
      <c r="G103" s="227"/>
      <c r="H103" s="228"/>
      <c r="I103" s="2"/>
      <c r="J103" s="2"/>
      <c r="K103" s="2"/>
      <c r="Y103" s="12"/>
      <c r="Z103" s="318"/>
    </row>
    <row r="104" spans="1:26" ht="16.5" thickBot="1">
      <c r="A104" s="139">
        <v>749</v>
      </c>
      <c r="B104" s="97">
        <f>LOOKUP(A104,Cargos!A3:A314,Cargos!C3:C314)</f>
        <v>971</v>
      </c>
      <c r="C104" s="97">
        <f>LOOKUP(A104,Cargos!A3:A314,Cargos!E3:E314)</f>
        <v>0</v>
      </c>
      <c r="D104" s="97">
        <f>LOOKUP(A104,Cargos!A3:A314,Cargos!F3:F314)</f>
        <v>0</v>
      </c>
      <c r="E104" s="97">
        <f>LOOKUP(A104,Cargos!A3:A314,Cargos!G3:G314)</f>
        <v>0</v>
      </c>
      <c r="F104" s="228"/>
      <c r="G104" s="227"/>
      <c r="H104" s="228"/>
      <c r="I104" s="2"/>
      <c r="J104" s="2"/>
      <c r="K104" s="2"/>
      <c r="Y104" s="12"/>
      <c r="Z104" s="318"/>
    </row>
    <row r="105" spans="1:26" ht="16.5" thickBot="1">
      <c r="A105" s="98" t="s">
        <v>54</v>
      </c>
      <c r="B105" s="99" t="str">
        <f>LOOKUP(A104,Cargos!A3:A314,Cargos!B3:B314)</f>
        <v> MAESTRO DE GRADO</v>
      </c>
      <c r="C105" s="47"/>
      <c r="D105" s="47"/>
      <c r="E105" s="72"/>
      <c r="F105" s="228"/>
      <c r="G105" s="227"/>
      <c r="H105" s="228"/>
      <c r="I105" s="2"/>
      <c r="J105" s="2"/>
      <c r="K105" s="2"/>
      <c r="Y105" s="12"/>
      <c r="Z105" s="318"/>
    </row>
    <row r="106" spans="1:26" ht="16.5" thickBot="1">
      <c r="A106" s="226"/>
      <c r="B106" s="227"/>
      <c r="C106" s="228"/>
      <c r="D106" s="228"/>
      <c r="E106" s="228"/>
      <c r="F106" s="166" t="s">
        <v>388</v>
      </c>
      <c r="G106" s="227"/>
      <c r="H106" s="228"/>
      <c r="I106" s="2"/>
      <c r="J106" s="2"/>
      <c r="K106" s="2"/>
      <c r="Y106" s="12"/>
      <c r="Z106" s="318"/>
    </row>
    <row r="107" spans="1:26" ht="17.25" thickBot="1" thickTop="1">
      <c r="A107" s="226"/>
      <c r="B107" s="144" t="s">
        <v>376</v>
      </c>
      <c r="C107" s="145"/>
      <c r="D107" s="145"/>
      <c r="E107" s="165">
        <v>120</v>
      </c>
      <c r="F107" s="167">
        <f>E107/120</f>
        <v>1</v>
      </c>
      <c r="G107" s="227"/>
      <c r="H107" s="228"/>
      <c r="I107" s="2"/>
      <c r="J107" s="2"/>
      <c r="K107" s="2"/>
      <c r="Y107" s="12"/>
      <c r="Z107" s="318"/>
    </row>
    <row r="108" spans="1:26" ht="17.25" thickBot="1" thickTop="1">
      <c r="A108" s="226"/>
      <c r="B108" s="227"/>
      <c r="C108" s="228"/>
      <c r="D108" s="228"/>
      <c r="E108" s="244"/>
      <c r="F108" s="228"/>
      <c r="G108" s="227"/>
      <c r="H108" s="228"/>
      <c r="I108" s="2"/>
      <c r="J108" s="2"/>
      <c r="K108" s="2"/>
      <c r="Y108" s="12"/>
      <c r="Z108" s="318"/>
    </row>
    <row r="109" spans="1:26" ht="17.25" thickBot="1" thickTop="1">
      <c r="A109" s="226"/>
      <c r="B109" s="143" t="s">
        <v>390</v>
      </c>
      <c r="C109" s="170">
        <v>0</v>
      </c>
      <c r="D109" s="228"/>
      <c r="E109" s="244"/>
      <c r="F109" s="228"/>
      <c r="G109" s="227"/>
      <c r="H109" s="228"/>
      <c r="I109" s="2"/>
      <c r="J109" s="2"/>
      <c r="K109" s="2"/>
      <c r="Y109" s="12"/>
      <c r="Z109" s="318"/>
    </row>
    <row r="110" spans="1:26" ht="17.25" thickBot="1" thickTop="1">
      <c r="A110" s="226"/>
      <c r="B110" s="227"/>
      <c r="C110" s="228"/>
      <c r="D110" s="228"/>
      <c r="E110" s="228"/>
      <c r="F110" s="228"/>
      <c r="G110" s="227"/>
      <c r="H110" s="228"/>
      <c r="I110" s="2"/>
      <c r="J110" s="2"/>
      <c r="K110" s="2"/>
      <c r="Y110" s="12"/>
      <c r="Z110" s="318"/>
    </row>
    <row r="111" spans="1:26" ht="16.5" thickBot="1">
      <c r="A111" s="226"/>
      <c r="B111" s="227"/>
      <c r="C111" s="100" t="s">
        <v>361</v>
      </c>
      <c r="D111" s="46"/>
      <c r="E111" s="101">
        <f>(valorcod038+((B104+C104+D104+E104)*0.2107)*2.2*0.07)*0.216</f>
        <v>25.3901117808</v>
      </c>
      <c r="F111" s="235"/>
      <c r="G111" s="245"/>
      <c r="H111" s="228"/>
      <c r="I111" s="2"/>
      <c r="J111" s="2"/>
      <c r="K111" s="2"/>
      <c r="Y111" s="12"/>
      <c r="Z111" s="318"/>
    </row>
    <row r="112" spans="1:26" ht="15.75">
      <c r="A112" s="226"/>
      <c r="B112" s="227"/>
      <c r="C112" s="228"/>
      <c r="D112" s="228"/>
      <c r="E112" s="228"/>
      <c r="F112" s="228"/>
      <c r="G112" s="227"/>
      <c r="H112" s="228"/>
      <c r="I112" s="2"/>
      <c r="J112" s="2"/>
      <c r="K112" s="2"/>
      <c r="Y112" s="12"/>
      <c r="Z112" s="318"/>
    </row>
    <row r="113" spans="1:8" ht="13.5" thickBot="1">
      <c r="A113" s="228"/>
      <c r="B113" s="229"/>
      <c r="C113" s="229"/>
      <c r="D113" s="229"/>
      <c r="E113" s="229"/>
      <c r="F113" s="229"/>
      <c r="G113" s="229"/>
      <c r="H113" s="229"/>
    </row>
    <row r="114" spans="1:10" ht="16.5" thickBot="1">
      <c r="A114" s="228"/>
      <c r="B114" s="229"/>
      <c r="C114" s="102" t="s">
        <v>15</v>
      </c>
      <c r="D114" s="47"/>
      <c r="E114" s="103">
        <f>B104*nuevopuntoindice</f>
        <v>304.9911</v>
      </c>
      <c r="F114" s="229"/>
      <c r="G114" s="229"/>
      <c r="H114" s="229"/>
      <c r="I114" s="104"/>
      <c r="J114" s="104"/>
    </row>
    <row r="115" spans="1:10" ht="16.5" thickBot="1">
      <c r="A115" s="228"/>
      <c r="B115" s="229"/>
      <c r="C115" s="102" t="s">
        <v>16</v>
      </c>
      <c r="D115" s="47"/>
      <c r="E115" s="142">
        <v>1.2</v>
      </c>
      <c r="F115" s="229" t="s">
        <v>17</v>
      </c>
      <c r="G115" s="229"/>
      <c r="H115" s="229"/>
      <c r="J115" s="104"/>
    </row>
    <row r="116" spans="1:10" ht="15.75">
      <c r="A116" s="228"/>
      <c r="B116" s="229"/>
      <c r="C116" s="228"/>
      <c r="D116" s="228"/>
      <c r="E116" s="242"/>
      <c r="F116" s="229"/>
      <c r="G116" s="229"/>
      <c r="H116" s="229"/>
      <c r="J116" s="105"/>
    </row>
    <row r="117" spans="1:9" ht="18.75" thickBot="1">
      <c r="A117" s="228"/>
      <c r="B117" s="229"/>
      <c r="C117" s="106" t="s">
        <v>18</v>
      </c>
      <c r="D117" s="106"/>
      <c r="E117" s="107">
        <f>B104</f>
        <v>971</v>
      </c>
      <c r="F117" s="229" t="s">
        <v>19</v>
      </c>
      <c r="G117" s="319">
        <f>1+E115</f>
        <v>2.2</v>
      </c>
      <c r="H117" s="246">
        <f>E104</f>
        <v>0</v>
      </c>
      <c r="I117" s="2"/>
    </row>
    <row r="118" spans="1:9" ht="15.75">
      <c r="A118" s="228"/>
      <c r="B118" s="229"/>
      <c r="C118" s="228"/>
      <c r="D118" s="228"/>
      <c r="E118" s="242"/>
      <c r="F118" s="229"/>
      <c r="G118" s="229"/>
      <c r="H118" s="228"/>
      <c r="I118" s="108"/>
    </row>
    <row r="119" spans="1:9" ht="15.75">
      <c r="A119" s="228"/>
      <c r="B119" s="229"/>
      <c r="C119" s="215" t="s">
        <v>445</v>
      </c>
      <c r="E119" s="229"/>
      <c r="F119" s="229"/>
      <c r="G119" s="215" t="s">
        <v>464</v>
      </c>
      <c r="I119" s="229"/>
    </row>
    <row r="120" spans="1:9" ht="15.75">
      <c r="A120" s="228"/>
      <c r="B120" s="229"/>
      <c r="C120" s="243"/>
      <c r="D120" s="229"/>
      <c r="E120" s="229"/>
      <c r="F120" s="229"/>
      <c r="G120" s="243"/>
      <c r="H120" s="229"/>
      <c r="I120" s="229"/>
    </row>
    <row r="121" spans="1:10" ht="12.75">
      <c r="A121" s="228"/>
      <c r="B121" s="229"/>
      <c r="C121" s="19">
        <v>400</v>
      </c>
      <c r="D121" s="19" t="s">
        <v>20</v>
      </c>
      <c r="E121" s="109">
        <f>punbasjub*indicefeb07*0.82*frac</f>
        <v>361.722746</v>
      </c>
      <c r="F121" s="229"/>
      <c r="G121" s="19">
        <v>400</v>
      </c>
      <c r="H121" s="19" t="s">
        <v>20</v>
      </c>
      <c r="I121" s="109">
        <f>punbasjub*indiceago07*0.82*frac</f>
        <v>374.2233999999999</v>
      </c>
      <c r="J121" s="15">
        <f>I121-E121</f>
        <v>12.50065399999994</v>
      </c>
    </row>
    <row r="122" spans="1:10" ht="12.75">
      <c r="A122" s="228"/>
      <c r="B122" s="229"/>
      <c r="C122" s="19">
        <v>404</v>
      </c>
      <c r="D122" s="19" t="s">
        <v>364</v>
      </c>
      <c r="E122" s="109">
        <f>C104*indicefeb07*0.82*frac</f>
        <v>0</v>
      </c>
      <c r="F122" s="229"/>
      <c r="G122" s="19">
        <v>404</v>
      </c>
      <c r="H122" s="19" t="s">
        <v>364</v>
      </c>
      <c r="I122" s="109">
        <f>C104*indiceago07*0.82*frac</f>
        <v>0</v>
      </c>
      <c r="J122" s="15">
        <f aca="true" t="shared" si="11" ref="J122:J139">I122-E122</f>
        <v>0</v>
      </c>
    </row>
    <row r="123" spans="1:10" ht="12.75">
      <c r="A123" s="228"/>
      <c r="B123" s="229"/>
      <c r="C123" s="19">
        <v>406</v>
      </c>
      <c r="D123" s="19" t="s">
        <v>21</v>
      </c>
      <c r="E123" s="109">
        <f>(E121+E122+E125)*E115</f>
        <v>434.06729519999993</v>
      </c>
      <c r="F123" s="229"/>
      <c r="G123" s="19">
        <v>406</v>
      </c>
      <c r="H123" s="19" t="s">
        <v>21</v>
      </c>
      <c r="I123" s="109">
        <f>(I121+I122+I125)*E115</f>
        <v>449.0680799999999</v>
      </c>
      <c r="J123" s="15">
        <f t="shared" si="11"/>
        <v>15.000784799999963</v>
      </c>
    </row>
    <row r="124" spans="1:10" ht="12.75">
      <c r="A124" s="228"/>
      <c r="B124" s="229"/>
      <c r="C124" s="19">
        <v>408</v>
      </c>
      <c r="D124" s="19" t="s">
        <v>389</v>
      </c>
      <c r="E124" s="109">
        <f>(E121+E125)*C109</f>
        <v>0</v>
      </c>
      <c r="F124" s="229"/>
      <c r="G124" s="19">
        <v>408</v>
      </c>
      <c r="H124" s="19" t="s">
        <v>389</v>
      </c>
      <c r="I124" s="109">
        <f>(I121+I125)*C109</f>
        <v>0</v>
      </c>
      <c r="J124" s="15">
        <f t="shared" si="11"/>
        <v>0</v>
      </c>
    </row>
    <row r="125" spans="1:10" ht="12.75">
      <c r="A125" s="228"/>
      <c r="B125" s="229"/>
      <c r="C125" s="19">
        <v>416</v>
      </c>
      <c r="D125" s="110" t="s">
        <v>365</v>
      </c>
      <c r="E125" s="109">
        <f>(D104+E104)*proljorfeb07*0.82*frac</f>
        <v>0</v>
      </c>
      <c r="F125" s="229"/>
      <c r="G125" s="19">
        <v>416</v>
      </c>
      <c r="H125" s="110" t="s">
        <v>365</v>
      </c>
      <c r="I125" s="109">
        <f>(D104+E104)*proljorago07*0.82*frac</f>
        <v>0</v>
      </c>
      <c r="J125" s="15">
        <f t="shared" si="11"/>
        <v>0</v>
      </c>
    </row>
    <row r="126" spans="1:10" ht="12.75">
      <c r="A126" s="228"/>
      <c r="B126" s="230"/>
      <c r="C126" s="19">
        <v>432</v>
      </c>
      <c r="D126" s="19" t="s">
        <v>387</v>
      </c>
      <c r="E126" s="16">
        <f>cod06feb07*0.82*frac</f>
        <v>352.59999999999997</v>
      </c>
      <c r="F126" s="229"/>
      <c r="G126" s="19">
        <v>432</v>
      </c>
      <c r="H126" s="19" t="s">
        <v>387</v>
      </c>
      <c r="I126" s="16">
        <f>cod06ago07*0.82*frac</f>
        <v>431.32</v>
      </c>
      <c r="J126" s="15">
        <f t="shared" si="11"/>
        <v>78.72000000000003</v>
      </c>
    </row>
    <row r="127" spans="1:10" ht="12.75">
      <c r="A127" s="228"/>
      <c r="B127" s="230"/>
      <c r="C127" s="19">
        <v>434</v>
      </c>
      <c r="D127" s="19" t="s">
        <v>362</v>
      </c>
      <c r="E127" s="109">
        <f>(E121+E122+E123+E125+E126+E124)*0.07*0.95</f>
        <v>76.36793773979998</v>
      </c>
      <c r="F127" s="229"/>
      <c r="G127" s="19">
        <v>434</v>
      </c>
      <c r="H127" s="19" t="s">
        <v>362</v>
      </c>
      <c r="I127" s="109">
        <f>(I121+I122+I123+I125+I126+I124)*0.07*0.95</f>
        <v>83.43166341999999</v>
      </c>
      <c r="J127" s="15">
        <f t="shared" si="11"/>
        <v>7.063725680200008</v>
      </c>
    </row>
    <row r="128" spans="1:10" ht="12.75">
      <c r="A128" s="228"/>
      <c r="B128" s="230"/>
      <c r="C128" s="19">
        <v>438</v>
      </c>
      <c r="D128" s="19" t="s">
        <v>363</v>
      </c>
      <c r="E128" s="109">
        <f>E111*0.82*frac</f>
        <v>20.819891660256</v>
      </c>
      <c r="F128" s="229"/>
      <c r="G128" s="19">
        <v>438</v>
      </c>
      <c r="H128" s="19" t="s">
        <v>363</v>
      </c>
      <c r="I128" s="109">
        <f>E128</f>
        <v>20.819891660256</v>
      </c>
      <c r="J128" s="15">
        <f t="shared" si="11"/>
        <v>0</v>
      </c>
    </row>
    <row r="129" spans="1:10" ht="13.5" thickBot="1">
      <c r="A129" s="228"/>
      <c r="B129" s="230"/>
      <c r="C129" s="19"/>
      <c r="D129" s="111" t="s">
        <v>385</v>
      </c>
      <c r="E129" s="140">
        <v>0</v>
      </c>
      <c r="F129" s="229"/>
      <c r="G129" s="19"/>
      <c r="H129" s="111" t="s">
        <v>385</v>
      </c>
      <c r="I129" s="327">
        <f>E129</f>
        <v>0</v>
      </c>
      <c r="J129" s="15">
        <f t="shared" si="11"/>
        <v>0</v>
      </c>
    </row>
    <row r="130" spans="1:10" ht="16.5" thickBot="1">
      <c r="A130" s="228"/>
      <c r="B130" s="230"/>
      <c r="C130" s="112"/>
      <c r="D130" s="113" t="s">
        <v>22</v>
      </c>
      <c r="E130" s="114">
        <f>SUM(E121:E129)</f>
        <v>1245.5778706000558</v>
      </c>
      <c r="F130" s="229"/>
      <c r="G130" s="112"/>
      <c r="H130" s="113" t="s">
        <v>22</v>
      </c>
      <c r="I130" s="114">
        <f>SUM(I121:I129)</f>
        <v>1358.8630350802557</v>
      </c>
      <c r="J130" s="15">
        <f t="shared" si="11"/>
        <v>113.28516448019991</v>
      </c>
    </row>
    <row r="131" spans="1:10" ht="12.75">
      <c r="A131" s="228"/>
      <c r="B131" s="230"/>
      <c r="C131" s="19">
        <v>703</v>
      </c>
      <c r="D131" s="115" t="s">
        <v>366</v>
      </c>
      <c r="E131" s="116">
        <f>(E130-E129)*0.0025</f>
        <v>3.1139446765001395</v>
      </c>
      <c r="F131" s="229"/>
      <c r="G131" s="19">
        <v>703</v>
      </c>
      <c r="H131" s="115" t="s">
        <v>366</v>
      </c>
      <c r="I131" s="116">
        <f>(I130-I129)*0.0025</f>
        <v>3.3971575877006392</v>
      </c>
      <c r="J131" s="15">
        <f t="shared" si="11"/>
        <v>0.28321291120049974</v>
      </c>
    </row>
    <row r="132" spans="1:10" ht="12.75">
      <c r="A132" s="228"/>
      <c r="B132" s="229"/>
      <c r="C132" s="20">
        <v>707</v>
      </c>
      <c r="D132" s="117" t="s">
        <v>24</v>
      </c>
      <c r="E132" s="18">
        <f>(E130-E129)*0.03</f>
        <v>37.367336118001674</v>
      </c>
      <c r="F132" s="229"/>
      <c r="G132" s="20">
        <v>707</v>
      </c>
      <c r="H132" s="117" t="s">
        <v>24</v>
      </c>
      <c r="I132" s="18">
        <f>(I130-I129)*0.03</f>
        <v>40.76589105240767</v>
      </c>
      <c r="J132" s="15">
        <f t="shared" si="11"/>
        <v>3.3985549344059933</v>
      </c>
    </row>
    <row r="133" spans="1:10" ht="12.75">
      <c r="A133" s="228"/>
      <c r="B133" s="231"/>
      <c r="C133" s="20">
        <v>709</v>
      </c>
      <c r="D133" s="117" t="s">
        <v>25</v>
      </c>
      <c r="E133" s="18">
        <f>(E130-E129)*0.0213</f>
        <v>26.53080864378119</v>
      </c>
      <c r="F133" s="229"/>
      <c r="G133" s="20">
        <v>709</v>
      </c>
      <c r="H133" s="117" t="s">
        <v>25</v>
      </c>
      <c r="I133" s="18">
        <f>(I130-I129)*0.0213</f>
        <v>28.943782647209446</v>
      </c>
      <c r="J133" s="15">
        <f t="shared" si="11"/>
        <v>2.412974003428257</v>
      </c>
    </row>
    <row r="134" spans="1:10" ht="12.75">
      <c r="A134" s="228"/>
      <c r="B134" s="231"/>
      <c r="C134" s="17">
        <v>710</v>
      </c>
      <c r="D134" s="117" t="s">
        <v>26</v>
      </c>
      <c r="E134" s="18">
        <f>(E130-E129)*0.00754</f>
        <v>9.391657144324421</v>
      </c>
      <c r="F134" s="229"/>
      <c r="G134" s="17">
        <v>710</v>
      </c>
      <c r="H134" s="117" t="s">
        <v>26</v>
      </c>
      <c r="I134" s="18">
        <f>(I130-I129)*0.00754</f>
        <v>10.245827284505127</v>
      </c>
      <c r="J134" s="15">
        <f t="shared" si="11"/>
        <v>0.854170140180706</v>
      </c>
    </row>
    <row r="135" spans="1:10" ht="12.75">
      <c r="A135" s="228"/>
      <c r="B135" s="231"/>
      <c r="C135" s="17">
        <v>713</v>
      </c>
      <c r="D135" s="117" t="s">
        <v>27</v>
      </c>
      <c r="E135" s="18">
        <f>(E130-E129)*0.007</f>
        <v>8.719045094200391</v>
      </c>
      <c r="F135" s="229"/>
      <c r="G135" s="17">
        <v>713</v>
      </c>
      <c r="H135" s="117" t="s">
        <v>27</v>
      </c>
      <c r="I135" s="18">
        <f>(I130-I129)*0.007</f>
        <v>9.51204124556179</v>
      </c>
      <c r="J135" s="15">
        <f t="shared" si="11"/>
        <v>0.7929961513613986</v>
      </c>
    </row>
    <row r="136" spans="1:10" ht="13.5" thickBot="1">
      <c r="A136" s="228"/>
      <c r="B136" s="171"/>
      <c r="C136" s="17"/>
      <c r="D136" s="118" t="s">
        <v>28</v>
      </c>
      <c r="E136" s="56">
        <v>0</v>
      </c>
      <c r="F136" s="229"/>
      <c r="G136" s="17"/>
      <c r="H136" s="118" t="s">
        <v>28</v>
      </c>
      <c r="I136" s="326">
        <f>E136</f>
        <v>0</v>
      </c>
      <c r="J136" s="15">
        <f t="shared" si="11"/>
        <v>0</v>
      </c>
    </row>
    <row r="137" spans="1:10" ht="16.5" thickBot="1">
      <c r="A137" s="228"/>
      <c r="B137" s="230"/>
      <c r="C137" s="119"/>
      <c r="D137" s="113" t="s">
        <v>29</v>
      </c>
      <c r="E137" s="114">
        <f>SUM(E131:E136)</f>
        <v>85.12279167680782</v>
      </c>
      <c r="F137" s="229"/>
      <c r="G137" s="119"/>
      <c r="H137" s="113" t="s">
        <v>29</v>
      </c>
      <c r="I137" s="114">
        <f>SUM(I131:I136)</f>
        <v>92.86469981738468</v>
      </c>
      <c r="J137" s="15">
        <f t="shared" si="11"/>
        <v>7.741908140576854</v>
      </c>
    </row>
    <row r="138" spans="1:10" ht="13.5" thickBot="1">
      <c r="A138" s="228"/>
      <c r="B138" s="230"/>
      <c r="C138" s="120"/>
      <c r="D138" s="121"/>
      <c r="E138" s="122"/>
      <c r="F138" s="229"/>
      <c r="G138" s="120"/>
      <c r="H138" s="121"/>
      <c r="I138" s="122"/>
      <c r="J138" s="15">
        <f t="shared" si="11"/>
        <v>0</v>
      </c>
    </row>
    <row r="139" spans="1:10" ht="16.5" thickBot="1">
      <c r="A139" s="229"/>
      <c r="B139" s="229"/>
      <c r="C139" s="123"/>
      <c r="D139" s="124" t="s">
        <v>30</v>
      </c>
      <c r="E139" s="125">
        <f>E130-E137</f>
        <v>1160.455078923248</v>
      </c>
      <c r="F139" s="229"/>
      <c r="G139" s="123"/>
      <c r="H139" s="124" t="s">
        <v>30</v>
      </c>
      <c r="I139" s="125">
        <f>I130-I137</f>
        <v>1265.998335262871</v>
      </c>
      <c r="J139" s="15">
        <f t="shared" si="11"/>
        <v>105.54325633962299</v>
      </c>
    </row>
    <row r="140" spans="1:11" ht="15.75">
      <c r="A140" s="229"/>
      <c r="B140" s="232"/>
      <c r="C140" s="233"/>
      <c r="D140" s="234"/>
      <c r="E140" s="229"/>
      <c r="F140" s="232"/>
      <c r="G140" s="247"/>
      <c r="H140" s="248"/>
      <c r="J140" s="85"/>
      <c r="K140" s="12"/>
    </row>
    <row r="141" spans="1:11" ht="18">
      <c r="A141" s="229"/>
      <c r="B141" s="232"/>
      <c r="C141" s="233"/>
      <c r="D141" s="234"/>
      <c r="E141" s="229"/>
      <c r="F141" s="232"/>
      <c r="G141" s="247"/>
      <c r="H141" s="320" t="s">
        <v>466</v>
      </c>
      <c r="I141" s="321">
        <f>I139-E139</f>
        <v>105.54325633962299</v>
      </c>
      <c r="J141" s="85"/>
      <c r="K141" s="12"/>
    </row>
    <row r="142" spans="1:11" ht="18">
      <c r="A142" s="229"/>
      <c r="B142" s="232"/>
      <c r="C142" s="233"/>
      <c r="D142" s="234"/>
      <c r="E142" s="229"/>
      <c r="F142" s="232"/>
      <c r="G142" s="247"/>
      <c r="H142" s="320" t="s">
        <v>467</v>
      </c>
      <c r="I142" s="322">
        <f>I141/E139</f>
        <v>0.09094988531357323</v>
      </c>
      <c r="J142" s="85"/>
      <c r="K142" s="12"/>
    </row>
    <row r="143" spans="1:11" ht="15.75">
      <c r="A143" s="229"/>
      <c r="B143" s="232"/>
      <c r="C143" s="233"/>
      <c r="D143" s="234"/>
      <c r="E143" s="229"/>
      <c r="F143" s="232"/>
      <c r="G143" s="247"/>
      <c r="H143" s="248"/>
      <c r="J143" s="85"/>
      <c r="K143" s="12"/>
    </row>
    <row r="144" spans="1:11" ht="12.75">
      <c r="A144" s="229"/>
      <c r="B144" s="229"/>
      <c r="C144" s="229"/>
      <c r="D144" s="229"/>
      <c r="E144" s="229"/>
      <c r="F144" s="229"/>
      <c r="G144" s="229"/>
      <c r="H144" s="229"/>
      <c r="I144" s="15"/>
      <c r="J144" s="12"/>
      <c r="K144" s="127"/>
    </row>
    <row r="145" spans="1:11" ht="12.75">
      <c r="A145" s="126"/>
      <c r="B145" s="126"/>
      <c r="C145" s="126"/>
      <c r="D145" s="126"/>
      <c r="E145" s="126"/>
      <c r="F145" s="126"/>
      <c r="G145" s="229"/>
      <c r="H145" s="229"/>
      <c r="I145" s="15"/>
      <c r="J145" s="12"/>
      <c r="K145" s="127"/>
    </row>
    <row r="146" spans="1:11" ht="12.75">
      <c r="A146" s="229"/>
      <c r="B146" s="229"/>
      <c r="C146" s="229"/>
      <c r="D146" s="229"/>
      <c r="E146" s="229"/>
      <c r="F146" s="229"/>
      <c r="G146" s="229"/>
      <c r="H146" s="229"/>
      <c r="I146" s="15"/>
      <c r="J146" s="12"/>
      <c r="K146" s="127"/>
    </row>
    <row r="147" spans="1:11" ht="20.25">
      <c r="A147" s="229"/>
      <c r="B147" s="229"/>
      <c r="C147" s="96" t="s">
        <v>31</v>
      </c>
      <c r="F147" s="229"/>
      <c r="G147" s="229"/>
      <c r="H147" s="229"/>
      <c r="I147" s="15"/>
      <c r="J147" s="12"/>
      <c r="K147" s="127"/>
    </row>
    <row r="148" spans="1:11" ht="13.5" thickBot="1">
      <c r="A148" s="229"/>
      <c r="B148" s="229"/>
      <c r="C148" s="229"/>
      <c r="D148" s="229"/>
      <c r="E148" s="229"/>
      <c r="F148" s="229"/>
      <c r="G148" s="229"/>
      <c r="H148" s="229"/>
      <c r="I148" s="15"/>
      <c r="J148" s="12"/>
      <c r="K148" s="127"/>
    </row>
    <row r="149" spans="1:11" ht="16.5" thickBot="1">
      <c r="A149" s="229"/>
      <c r="B149" s="229"/>
      <c r="C149" s="128" t="s">
        <v>32</v>
      </c>
      <c r="D149" s="47"/>
      <c r="E149" s="13">
        <v>30</v>
      </c>
      <c r="F149" s="229"/>
      <c r="G149" s="249" t="s">
        <v>443</v>
      </c>
      <c r="H149" s="229"/>
      <c r="I149" s="15"/>
      <c r="J149" s="12"/>
      <c r="K149" s="12"/>
    </row>
    <row r="150" spans="1:11" ht="16.5" thickBot="1">
      <c r="A150" s="229"/>
      <c r="B150" s="229"/>
      <c r="C150" s="102" t="s">
        <v>16</v>
      </c>
      <c r="D150" s="47"/>
      <c r="E150" s="142">
        <v>1.2</v>
      </c>
      <c r="F150" s="236"/>
      <c r="G150" s="250">
        <f>nuevocod38med*E149*0.82</f>
        <v>86.7888</v>
      </c>
      <c r="H150" s="229"/>
      <c r="I150" s="15"/>
      <c r="J150" s="12"/>
      <c r="K150" s="129"/>
    </row>
    <row r="151" spans="1:11" ht="12.75">
      <c r="A151" s="229"/>
      <c r="B151" s="229"/>
      <c r="F151" s="229"/>
      <c r="G151" s="229"/>
      <c r="H151" s="229"/>
      <c r="I151" s="15"/>
      <c r="J151" s="12"/>
      <c r="K151" s="130"/>
    </row>
    <row r="152" spans="1:11" ht="18.75" thickBot="1">
      <c r="A152" s="229"/>
      <c r="B152" s="229"/>
      <c r="C152" s="106" t="s">
        <v>18</v>
      </c>
      <c r="D152" s="131"/>
      <c r="E152" s="107">
        <f>E149*64.73</f>
        <v>1941.9</v>
      </c>
      <c r="F152" s="236"/>
      <c r="G152" s="229"/>
      <c r="H152" s="229"/>
      <c r="I152" s="15"/>
      <c r="J152" s="85"/>
      <c r="K152" s="132"/>
    </row>
    <row r="153" spans="1:11" ht="18">
      <c r="A153" s="229"/>
      <c r="B153" s="229"/>
      <c r="C153" s="238"/>
      <c r="D153" s="239"/>
      <c r="E153" s="240"/>
      <c r="F153" s="229"/>
      <c r="G153" s="229"/>
      <c r="H153" s="229"/>
      <c r="I153" s="15"/>
      <c r="J153" s="85"/>
      <c r="K153" s="132"/>
    </row>
    <row r="154" spans="1:11" ht="18">
      <c r="A154" s="229"/>
      <c r="B154" s="229"/>
      <c r="C154" s="238"/>
      <c r="D154" s="239"/>
      <c r="E154" s="240"/>
      <c r="F154" s="229"/>
      <c r="G154" s="229"/>
      <c r="H154" s="229"/>
      <c r="I154" s="15"/>
      <c r="J154" s="85"/>
      <c r="K154" s="132"/>
    </row>
    <row r="155" spans="1:9" ht="15.75">
      <c r="A155" s="229"/>
      <c r="B155" s="173"/>
      <c r="C155" s="215" t="s">
        <v>445</v>
      </c>
      <c r="E155" s="229"/>
      <c r="F155" s="229"/>
      <c r="G155" s="215" t="s">
        <v>464</v>
      </c>
      <c r="I155" s="229"/>
    </row>
    <row r="156" spans="1:9" ht="12.75">
      <c r="A156" s="229"/>
      <c r="B156" s="229"/>
      <c r="C156" s="241"/>
      <c r="D156" s="229"/>
      <c r="E156" s="229"/>
      <c r="F156" s="229"/>
      <c r="G156" s="241"/>
      <c r="H156" s="229"/>
      <c r="I156" s="229"/>
    </row>
    <row r="157" spans="1:10" ht="12.75">
      <c r="A157" s="229"/>
      <c r="B157" s="229"/>
      <c r="C157" s="19">
        <v>400</v>
      </c>
      <c r="D157" s="19" t="s">
        <v>20</v>
      </c>
      <c r="E157" s="109">
        <f>E152*indicefeb07*0.82</f>
        <v>723.4082394</v>
      </c>
      <c r="F157" s="229"/>
      <c r="G157" s="19">
        <v>400</v>
      </c>
      <c r="H157" s="19" t="s">
        <v>20</v>
      </c>
      <c r="I157" s="109">
        <f>E152*indiceago07*0.82</f>
        <v>748.4082599999999</v>
      </c>
      <c r="J157" s="323">
        <f>I157-E157</f>
        <v>25.00002059999997</v>
      </c>
    </row>
    <row r="158" spans="1:10" ht="12.75">
      <c r="A158" s="229"/>
      <c r="B158" s="229"/>
      <c r="C158" s="19">
        <v>406</v>
      </c>
      <c r="D158" s="19" t="s">
        <v>21</v>
      </c>
      <c r="E158" s="109">
        <f>E157*E150</f>
        <v>868.08988728</v>
      </c>
      <c r="F158" s="229"/>
      <c r="G158" s="19">
        <v>406</v>
      </c>
      <c r="H158" s="19" t="s">
        <v>21</v>
      </c>
      <c r="I158" s="109">
        <f>I157*E150</f>
        <v>898.0899119999999</v>
      </c>
      <c r="J158" s="323">
        <f aca="true" t="shared" si="12" ref="J158:J172">I158-E158</f>
        <v>30.000024719999942</v>
      </c>
    </row>
    <row r="159" spans="1:10" ht="12.75">
      <c r="A159" s="229"/>
      <c r="B159" s="230"/>
      <c r="C159" s="19">
        <v>432</v>
      </c>
      <c r="D159" s="19" t="s">
        <v>367</v>
      </c>
      <c r="E159" s="133">
        <f>IF(E149&gt;20,162,cod06medfeb07*E149)*0.82</f>
        <v>132.84</v>
      </c>
      <c r="F159" s="229"/>
      <c r="G159" s="19">
        <v>432</v>
      </c>
      <c r="H159" s="19" t="s">
        <v>367</v>
      </c>
      <c r="I159" s="133">
        <f>IF(E149&gt;20,182,cod06medago07*E149)*0.82</f>
        <v>149.23999999999998</v>
      </c>
      <c r="J159" s="323">
        <f t="shared" si="12"/>
        <v>16.399999999999977</v>
      </c>
    </row>
    <row r="160" spans="1:10" ht="12.75">
      <c r="A160" s="229"/>
      <c r="B160" s="230"/>
      <c r="C160" s="19">
        <v>434</v>
      </c>
      <c r="D160" s="19" t="s">
        <v>362</v>
      </c>
      <c r="E160" s="109">
        <f>(E157+E158+E159)*0.07*0.95</f>
        <v>114.66848542422001</v>
      </c>
      <c r="F160" s="229"/>
      <c r="G160" s="19">
        <v>434</v>
      </c>
      <c r="H160" s="19" t="s">
        <v>362</v>
      </c>
      <c r="I160" s="109">
        <f>(I157+I158+I159)*0.07*0.95</f>
        <v>119.416588438</v>
      </c>
      <c r="J160" s="323">
        <f t="shared" si="12"/>
        <v>4.748103013779996</v>
      </c>
    </row>
    <row r="161" spans="1:10" ht="12.75">
      <c r="A161" s="229"/>
      <c r="B161" s="230"/>
      <c r="C161" s="19">
        <v>438</v>
      </c>
      <c r="D161" s="19" t="s">
        <v>363</v>
      </c>
      <c r="E161" s="109">
        <f>(G150/0.82+E152*0.2107*2.2*0.07)*0.216*0.82</f>
        <v>29.9067798050784</v>
      </c>
      <c r="F161" s="229"/>
      <c r="G161" s="19">
        <v>438</v>
      </c>
      <c r="H161" s="19" t="s">
        <v>363</v>
      </c>
      <c r="I161" s="109">
        <f>E161</f>
        <v>29.9067798050784</v>
      </c>
      <c r="J161" s="323">
        <f t="shared" si="12"/>
        <v>0</v>
      </c>
    </row>
    <row r="162" spans="1:10" ht="13.5" thickBot="1">
      <c r="A162" s="229"/>
      <c r="B162" s="230"/>
      <c r="C162" s="19"/>
      <c r="D162" s="111" t="s">
        <v>385</v>
      </c>
      <c r="E162" s="140">
        <v>0</v>
      </c>
      <c r="F162" s="229"/>
      <c r="G162" s="19"/>
      <c r="H162" s="111" t="s">
        <v>385</v>
      </c>
      <c r="I162" s="327">
        <f>E162</f>
        <v>0</v>
      </c>
      <c r="J162" s="323">
        <f t="shared" si="12"/>
        <v>0</v>
      </c>
    </row>
    <row r="163" spans="1:10" ht="13.5" thickBot="1">
      <c r="A163" s="229"/>
      <c r="B163" s="230"/>
      <c r="C163" s="112"/>
      <c r="D163" s="113" t="s">
        <v>22</v>
      </c>
      <c r="E163" s="134">
        <f>SUM(E157:E162)</f>
        <v>1868.9133919092985</v>
      </c>
      <c r="F163" s="229"/>
      <c r="G163" s="112"/>
      <c r="H163" s="113" t="s">
        <v>22</v>
      </c>
      <c r="I163" s="134">
        <f>SUM(I157:I162)</f>
        <v>1945.0615402430783</v>
      </c>
      <c r="J163" s="15">
        <f t="shared" si="12"/>
        <v>76.14814833377977</v>
      </c>
    </row>
    <row r="164" spans="1:10" ht="12.75">
      <c r="A164" s="229"/>
      <c r="B164" s="230"/>
      <c r="C164" s="19">
        <v>703</v>
      </c>
      <c r="D164" s="115" t="s">
        <v>23</v>
      </c>
      <c r="E164" s="116">
        <f>(E163-E162)*0.0025</f>
        <v>4.672283479773246</v>
      </c>
      <c r="F164" s="229"/>
      <c r="G164" s="19">
        <v>703</v>
      </c>
      <c r="H164" s="115" t="s">
        <v>23</v>
      </c>
      <c r="I164" s="116">
        <f>(I163-I162)*0.0025</f>
        <v>4.862653850607696</v>
      </c>
      <c r="J164" s="15">
        <f t="shared" si="12"/>
        <v>0.19037037083444996</v>
      </c>
    </row>
    <row r="165" spans="1:10" ht="12.75">
      <c r="A165" s="229"/>
      <c r="B165" s="229"/>
      <c r="C165" s="20">
        <v>707</v>
      </c>
      <c r="D165" s="117" t="s">
        <v>24</v>
      </c>
      <c r="E165" s="18">
        <f>(E163-E162)*0.03</f>
        <v>56.06740175727895</v>
      </c>
      <c r="F165" s="229"/>
      <c r="G165" s="20">
        <v>707</v>
      </c>
      <c r="H165" s="117" t="s">
        <v>24</v>
      </c>
      <c r="I165" s="18">
        <f>(I163-I162)*0.03</f>
        <v>58.35184620729235</v>
      </c>
      <c r="J165" s="15">
        <f t="shared" si="12"/>
        <v>2.284444450013396</v>
      </c>
    </row>
    <row r="166" spans="1:10" ht="12.75">
      <c r="A166" s="229"/>
      <c r="B166" s="231"/>
      <c r="C166" s="20">
        <v>709</v>
      </c>
      <c r="D166" s="117" t="s">
        <v>25</v>
      </c>
      <c r="E166" s="18">
        <f>(E163-E162)*0.0213</f>
        <v>39.80785524766806</v>
      </c>
      <c r="F166" s="229"/>
      <c r="G166" s="20">
        <v>709</v>
      </c>
      <c r="H166" s="117" t="s">
        <v>25</v>
      </c>
      <c r="I166" s="18">
        <f>(I163-I162)*0.0213</f>
        <v>41.42981080717757</v>
      </c>
      <c r="J166" s="15">
        <f t="shared" si="12"/>
        <v>1.6219555595095088</v>
      </c>
    </row>
    <row r="167" spans="1:10" ht="12.75">
      <c r="A167" s="229"/>
      <c r="B167" s="231"/>
      <c r="C167" s="17">
        <v>710</v>
      </c>
      <c r="D167" s="117" t="s">
        <v>26</v>
      </c>
      <c r="E167" s="135">
        <f>(E163-E162)*0.00754</f>
        <v>14.091606974996111</v>
      </c>
      <c r="F167" s="229"/>
      <c r="G167" s="17">
        <v>710</v>
      </c>
      <c r="H167" s="117" t="s">
        <v>26</v>
      </c>
      <c r="I167" s="135">
        <f>(I163-I162)*0.00754</f>
        <v>14.66576401343281</v>
      </c>
      <c r="J167" s="15">
        <f t="shared" si="12"/>
        <v>0.5741570384366987</v>
      </c>
    </row>
    <row r="168" spans="1:10" ht="12.75">
      <c r="A168" s="229"/>
      <c r="B168" s="231"/>
      <c r="C168" s="17">
        <v>713</v>
      </c>
      <c r="D168" s="117" t="s">
        <v>27</v>
      </c>
      <c r="E168" s="18">
        <f>(E163-E162)*0.007</f>
        <v>13.08239374336509</v>
      </c>
      <c r="F168" s="229"/>
      <c r="G168" s="17">
        <v>713</v>
      </c>
      <c r="H168" s="117" t="s">
        <v>27</v>
      </c>
      <c r="I168" s="18">
        <f>(I163-I162)*0.007</f>
        <v>13.615430781701548</v>
      </c>
      <c r="J168" s="15">
        <f t="shared" si="12"/>
        <v>0.5330370383364578</v>
      </c>
    </row>
    <row r="169" spans="1:10" ht="13.5" thickBot="1">
      <c r="A169" s="229"/>
      <c r="B169" s="171"/>
      <c r="C169" s="17"/>
      <c r="D169" s="118" t="s">
        <v>28</v>
      </c>
      <c r="E169" s="56">
        <v>0</v>
      </c>
      <c r="F169" s="229"/>
      <c r="G169" s="17"/>
      <c r="H169" s="118" t="s">
        <v>28</v>
      </c>
      <c r="I169" s="326">
        <f>E169</f>
        <v>0</v>
      </c>
      <c r="J169" s="15">
        <f t="shared" si="12"/>
        <v>0</v>
      </c>
    </row>
    <row r="170" spans="1:10" ht="13.5" thickBot="1">
      <c r="A170" s="229"/>
      <c r="B170" s="230"/>
      <c r="C170" s="119"/>
      <c r="D170" s="113" t="s">
        <v>29</v>
      </c>
      <c r="E170" s="136">
        <f>SUM(E164:E169)</f>
        <v>127.72154120308146</v>
      </c>
      <c r="F170" s="229"/>
      <c r="G170" s="119"/>
      <c r="H170" s="113" t="s">
        <v>29</v>
      </c>
      <c r="I170" s="136">
        <f>SUM(I164:I169)</f>
        <v>132.92550566021197</v>
      </c>
      <c r="J170" s="15">
        <f t="shared" si="12"/>
        <v>5.20396445713051</v>
      </c>
    </row>
    <row r="171" spans="1:10" ht="13.5" thickBot="1">
      <c r="A171" s="229"/>
      <c r="B171" s="230"/>
      <c r="C171" s="120"/>
      <c r="D171" s="121"/>
      <c r="E171" s="122"/>
      <c r="F171" s="229"/>
      <c r="G171" s="120"/>
      <c r="H171" s="121"/>
      <c r="I171" s="122"/>
      <c r="J171" s="15"/>
    </row>
    <row r="172" spans="1:10" ht="13.5" thickBot="1">
      <c r="A172" s="229"/>
      <c r="B172" s="229"/>
      <c r="C172" s="123"/>
      <c r="D172" s="124" t="s">
        <v>30</v>
      </c>
      <c r="E172" s="137">
        <f>E163-E170</f>
        <v>1741.191850706217</v>
      </c>
      <c r="F172" s="229"/>
      <c r="G172" s="123"/>
      <c r="H172" s="124" t="s">
        <v>30</v>
      </c>
      <c r="I172" s="137">
        <f>I163-I170</f>
        <v>1812.1360345828664</v>
      </c>
      <c r="J172" s="15">
        <f t="shared" si="12"/>
        <v>70.94418387664928</v>
      </c>
    </row>
    <row r="173" spans="1:10" ht="12.75">
      <c r="A173" s="229"/>
      <c r="B173" s="229"/>
      <c r="C173" s="4"/>
      <c r="D173" s="324"/>
      <c r="E173" s="325"/>
      <c r="F173" s="229"/>
      <c r="G173" s="4"/>
      <c r="H173" s="324"/>
      <c r="I173" s="325"/>
      <c r="J173" s="15"/>
    </row>
    <row r="174" spans="1:9" ht="18">
      <c r="A174" s="229"/>
      <c r="B174" s="229"/>
      <c r="C174" s="233"/>
      <c r="D174" s="229"/>
      <c r="E174" s="229"/>
      <c r="F174" s="229"/>
      <c r="G174" s="229"/>
      <c r="H174" s="320" t="s">
        <v>466</v>
      </c>
      <c r="I174" s="321">
        <f>I172-E172</f>
        <v>70.94418387664928</v>
      </c>
    </row>
    <row r="175" spans="1:9" ht="18">
      <c r="A175" s="229"/>
      <c r="B175" s="229"/>
      <c r="C175" s="233"/>
      <c r="D175" s="229"/>
      <c r="E175" s="229"/>
      <c r="F175" s="229"/>
      <c r="G175" s="229"/>
      <c r="H175" s="320" t="s">
        <v>467</v>
      </c>
      <c r="I175" s="322">
        <f>I174/E172</f>
        <v>0.040744610565386426</v>
      </c>
    </row>
    <row r="176" spans="1:8" ht="12.75">
      <c r="A176" s="229"/>
      <c r="B176" s="229"/>
      <c r="C176" s="233"/>
      <c r="D176" s="229"/>
      <c r="E176" s="229"/>
      <c r="F176" s="229"/>
      <c r="G176" s="229"/>
      <c r="H176" s="229"/>
    </row>
    <row r="177" spans="1:8" ht="12.75">
      <c r="A177" s="229"/>
      <c r="B177" s="229"/>
      <c r="C177" s="233"/>
      <c r="D177" s="229"/>
      <c r="E177" s="229"/>
      <c r="F177" s="229"/>
      <c r="G177" s="229"/>
      <c r="H177" s="229"/>
    </row>
    <row r="178" spans="1:8" ht="12.75">
      <c r="A178" s="229"/>
      <c r="B178" s="229"/>
      <c r="C178" s="233"/>
      <c r="D178" s="229"/>
      <c r="E178" s="229"/>
      <c r="F178" s="229"/>
      <c r="G178" s="229"/>
      <c r="H178" s="229"/>
    </row>
    <row r="179" spans="1:11" ht="12.75">
      <c r="A179" s="126"/>
      <c r="B179" s="126"/>
      <c r="C179" s="126"/>
      <c r="D179" s="126"/>
      <c r="E179" s="126"/>
      <c r="F179" s="126"/>
      <c r="G179" s="229"/>
      <c r="H179" s="229"/>
      <c r="I179" s="15"/>
      <c r="J179" s="12"/>
      <c r="K179" s="12"/>
    </row>
    <row r="180" spans="1:11" ht="20.25">
      <c r="A180" s="229"/>
      <c r="B180" s="229"/>
      <c r="C180" s="96" t="s">
        <v>33</v>
      </c>
      <c r="F180" s="229"/>
      <c r="G180" s="229"/>
      <c r="H180" s="229"/>
      <c r="I180" s="15"/>
      <c r="J180" s="12"/>
      <c r="K180" s="12"/>
    </row>
    <row r="181" spans="1:11" ht="13.5" thickBot="1">
      <c r="A181" s="229"/>
      <c r="B181" s="229"/>
      <c r="C181" s="229"/>
      <c r="D181" s="229"/>
      <c r="E181" s="229"/>
      <c r="F181" s="229"/>
      <c r="G181" s="229"/>
      <c r="H181" s="229"/>
      <c r="I181" s="15"/>
      <c r="J181" s="12"/>
      <c r="K181" s="12"/>
    </row>
    <row r="182" spans="1:11" ht="16.5" thickBot="1">
      <c r="A182" s="229"/>
      <c r="B182" s="229"/>
      <c r="C182" s="128" t="s">
        <v>32</v>
      </c>
      <c r="D182" s="47"/>
      <c r="E182" s="13">
        <v>36</v>
      </c>
      <c r="F182" s="229"/>
      <c r="G182" s="229"/>
      <c r="H182" s="246"/>
      <c r="I182" s="15"/>
      <c r="J182" s="12"/>
      <c r="K182" s="129"/>
    </row>
    <row r="183" spans="1:11" ht="16.5" thickBot="1">
      <c r="A183" s="229"/>
      <c r="B183" s="229"/>
      <c r="C183" s="102" t="s">
        <v>16</v>
      </c>
      <c r="D183" s="47"/>
      <c r="E183" s="169">
        <v>1.2</v>
      </c>
      <c r="F183" s="236"/>
      <c r="G183" s="229"/>
      <c r="H183" s="229"/>
      <c r="I183" s="15"/>
      <c r="J183" s="12"/>
      <c r="K183" s="130"/>
    </row>
    <row r="184" spans="1:11" ht="12.75">
      <c r="A184" s="229"/>
      <c r="B184" s="229"/>
      <c r="F184" s="229"/>
      <c r="G184" s="251" t="s">
        <v>444</v>
      </c>
      <c r="H184" s="229"/>
      <c r="I184" s="15"/>
      <c r="J184" s="85"/>
      <c r="K184" s="132"/>
    </row>
    <row r="185" spans="1:11" ht="18.75" thickBot="1">
      <c r="A185" s="229"/>
      <c r="B185" s="229"/>
      <c r="C185" s="106" t="s">
        <v>18</v>
      </c>
      <c r="D185" s="131"/>
      <c r="E185" s="138">
        <f>E182*86.9</f>
        <v>3128.4</v>
      </c>
      <c r="F185" s="229" t="s">
        <v>34</v>
      </c>
      <c r="G185" s="249">
        <f>nuevocod38sup*E182*0.82</f>
        <v>74.09519999999998</v>
      </c>
      <c r="H185" s="230"/>
      <c r="I185" s="15"/>
      <c r="J185" s="12"/>
      <c r="K185" s="132"/>
    </row>
    <row r="186" spans="1:11" ht="12.75">
      <c r="A186" s="229"/>
      <c r="B186" s="229"/>
      <c r="C186" s="229"/>
      <c r="D186" s="229"/>
      <c r="E186" s="229"/>
      <c r="F186" s="229"/>
      <c r="G186" s="229"/>
      <c r="H186" s="229"/>
      <c r="I186" s="15"/>
      <c r="J186" s="12"/>
      <c r="K186" s="12"/>
    </row>
    <row r="187" spans="1:11" ht="12.75">
      <c r="A187" s="229"/>
      <c r="B187" s="229"/>
      <c r="C187" s="228"/>
      <c r="D187" s="228"/>
      <c r="E187" s="237"/>
      <c r="F187" s="229"/>
      <c r="G187" s="229"/>
      <c r="H187" s="229"/>
      <c r="I187" s="15"/>
      <c r="J187" s="12"/>
      <c r="K187" s="85"/>
    </row>
    <row r="188" spans="1:8" ht="15.75">
      <c r="A188" s="229"/>
      <c r="B188" s="173"/>
      <c r="C188" s="215" t="s">
        <v>445</v>
      </c>
      <c r="E188" s="229"/>
      <c r="F188" s="229"/>
      <c r="G188" s="229"/>
      <c r="H188" s="229"/>
    </row>
    <row r="189" spans="1:8" ht="12.75">
      <c r="A189" s="229"/>
      <c r="B189" s="229"/>
      <c r="C189" s="229"/>
      <c r="D189" s="229"/>
      <c r="E189" s="229"/>
      <c r="F189" s="229"/>
      <c r="G189" s="229"/>
      <c r="H189" s="229"/>
    </row>
    <row r="190" spans="1:10" ht="12.75">
      <c r="A190" s="229"/>
      <c r="B190" s="229"/>
      <c r="C190" s="19">
        <v>400</v>
      </c>
      <c r="D190" s="19" t="s">
        <v>20</v>
      </c>
      <c r="E190" s="109">
        <f>E185*indicefeb07*0.82</f>
        <v>1165.4103383999998</v>
      </c>
      <c r="F190" s="229"/>
      <c r="G190" s="19">
        <v>400</v>
      </c>
      <c r="H190" s="19" t="s">
        <v>20</v>
      </c>
      <c r="I190" s="109">
        <f>E185*indiceago07*0.82</f>
        <v>1205.68536</v>
      </c>
      <c r="J190" s="323">
        <f>I190-E190</f>
        <v>40.27502160000017</v>
      </c>
    </row>
    <row r="191" spans="1:10" ht="12.75">
      <c r="A191" s="229"/>
      <c r="B191" s="229"/>
      <c r="C191" s="19">
        <v>406</v>
      </c>
      <c r="D191" s="19" t="s">
        <v>21</v>
      </c>
      <c r="E191" s="109">
        <f>E190*E183</f>
        <v>1398.4924060799997</v>
      </c>
      <c r="F191" s="229"/>
      <c r="G191" s="19">
        <v>406</v>
      </c>
      <c r="H191" s="19" t="s">
        <v>21</v>
      </c>
      <c r="I191" s="109">
        <f>I190*E183</f>
        <v>1446.822432</v>
      </c>
      <c r="J191" s="323">
        <f aca="true" t="shared" si="13" ref="J191:J205">I191-E191</f>
        <v>48.33002592000025</v>
      </c>
    </row>
    <row r="192" spans="1:10" ht="12.75">
      <c r="A192" s="229"/>
      <c r="B192" s="230"/>
      <c r="C192" s="19">
        <v>432</v>
      </c>
      <c r="D192" s="19" t="s">
        <v>367</v>
      </c>
      <c r="E192" s="133">
        <f>IF(E182&gt;15,121.5,cod06supfeb07*E182)*0.82</f>
        <v>99.63</v>
      </c>
      <c r="F192" s="229"/>
      <c r="G192" s="19">
        <v>432</v>
      </c>
      <c r="H192" s="19" t="s">
        <v>367</v>
      </c>
      <c r="I192" s="133">
        <f>IF(E182&gt;15,136.5,cod06supago07*E182)*0.82</f>
        <v>111.92999999999999</v>
      </c>
      <c r="J192" s="323">
        <f t="shared" si="13"/>
        <v>12.299999999999997</v>
      </c>
    </row>
    <row r="193" spans="1:10" ht="12.75">
      <c r="A193" s="229"/>
      <c r="B193" s="230"/>
      <c r="C193" s="19">
        <v>434</v>
      </c>
      <c r="D193" s="19" t="s">
        <v>362</v>
      </c>
      <c r="E193" s="109">
        <f>(E190+E191+E192)*0.07*0.95</f>
        <v>177.12492750791998</v>
      </c>
      <c r="F193" s="229"/>
      <c r="G193" s="19">
        <v>434</v>
      </c>
      <c r="H193" s="19" t="s">
        <v>362</v>
      </c>
      <c r="I193" s="109">
        <f>(I190+I191+I192)*0.07*0.95</f>
        <v>183.835113168</v>
      </c>
      <c r="J193" s="323">
        <f t="shared" si="13"/>
        <v>6.710185660080015</v>
      </c>
    </row>
    <row r="194" spans="1:10" ht="12.75">
      <c r="A194" s="229"/>
      <c r="B194" s="230"/>
      <c r="C194" s="19">
        <v>438</v>
      </c>
      <c r="D194" s="19" t="s">
        <v>363</v>
      </c>
      <c r="E194" s="109">
        <f>(G185/0.82+E185*0.2107*2.7*0.07)*0.216*0.82</f>
        <v>38.07018755763839</v>
      </c>
      <c r="F194" s="229"/>
      <c r="G194" s="19">
        <v>438</v>
      </c>
      <c r="H194" s="19" t="s">
        <v>363</v>
      </c>
      <c r="I194" s="109">
        <f>E194</f>
        <v>38.07018755763839</v>
      </c>
      <c r="J194" s="323">
        <f t="shared" si="13"/>
        <v>0</v>
      </c>
    </row>
    <row r="195" spans="1:10" ht="13.5" thickBot="1">
      <c r="A195" s="229"/>
      <c r="B195" s="230"/>
      <c r="C195" s="19"/>
      <c r="D195" s="111" t="s">
        <v>385</v>
      </c>
      <c r="E195" s="140">
        <v>0</v>
      </c>
      <c r="F195" s="229"/>
      <c r="G195" s="19"/>
      <c r="H195" s="111" t="s">
        <v>385</v>
      </c>
      <c r="I195" s="327">
        <f>E195</f>
        <v>0</v>
      </c>
      <c r="J195" s="323">
        <f t="shared" si="13"/>
        <v>0</v>
      </c>
    </row>
    <row r="196" spans="1:10" ht="13.5" thickBot="1">
      <c r="A196" s="229"/>
      <c r="B196" s="230"/>
      <c r="C196" s="112"/>
      <c r="D196" s="113" t="s">
        <v>22</v>
      </c>
      <c r="E196" s="134">
        <f>SUM(E190:E195)</f>
        <v>2878.7278595455577</v>
      </c>
      <c r="F196" s="229"/>
      <c r="G196" s="112"/>
      <c r="H196" s="113" t="s">
        <v>22</v>
      </c>
      <c r="I196" s="134">
        <f>SUM(I190:I195)</f>
        <v>2986.343092725638</v>
      </c>
      <c r="J196" s="15">
        <f t="shared" si="13"/>
        <v>107.6152331800804</v>
      </c>
    </row>
    <row r="197" spans="1:10" ht="12.75">
      <c r="A197" s="229"/>
      <c r="B197" s="230"/>
      <c r="C197" s="19">
        <v>703</v>
      </c>
      <c r="D197" s="115" t="s">
        <v>23</v>
      </c>
      <c r="E197" s="116">
        <f>(E196-E195)*0.0025</f>
        <v>7.196819648863895</v>
      </c>
      <c r="F197" s="229"/>
      <c r="G197" s="19">
        <v>703</v>
      </c>
      <c r="H197" s="115" t="s">
        <v>23</v>
      </c>
      <c r="I197" s="116">
        <f>(I196-I195)*0.0025</f>
        <v>7.465857731814095</v>
      </c>
      <c r="J197" s="15">
        <f t="shared" si="13"/>
        <v>0.2690380829502006</v>
      </c>
    </row>
    <row r="198" spans="1:10" ht="12.75">
      <c r="A198" s="229"/>
      <c r="B198" s="229"/>
      <c r="C198" s="20">
        <v>707</v>
      </c>
      <c r="D198" s="117" t="s">
        <v>24</v>
      </c>
      <c r="E198" s="18">
        <f>(E196-E195)*0.03</f>
        <v>86.36183578636673</v>
      </c>
      <c r="F198" s="229"/>
      <c r="G198" s="20">
        <v>707</v>
      </c>
      <c r="H198" s="117" t="s">
        <v>24</v>
      </c>
      <c r="I198" s="18">
        <f>(I196-I195)*0.03</f>
        <v>89.59029278176914</v>
      </c>
      <c r="J198" s="15">
        <f t="shared" si="13"/>
        <v>3.2284569954024107</v>
      </c>
    </row>
    <row r="199" spans="1:10" ht="12.75">
      <c r="A199" s="229"/>
      <c r="B199" s="231"/>
      <c r="C199" s="20">
        <v>709</v>
      </c>
      <c r="D199" s="117" t="s">
        <v>25</v>
      </c>
      <c r="E199" s="18">
        <f>(E196-E195)*0.0213</f>
        <v>61.31690340832038</v>
      </c>
      <c r="F199" s="229"/>
      <c r="G199" s="20">
        <v>709</v>
      </c>
      <c r="H199" s="117" t="s">
        <v>25</v>
      </c>
      <c r="I199" s="18">
        <f>(I196-I195)*0.0213</f>
        <v>63.60910787505609</v>
      </c>
      <c r="J199" s="15">
        <f t="shared" si="13"/>
        <v>2.2922044667357113</v>
      </c>
    </row>
    <row r="200" spans="1:10" ht="12.75">
      <c r="A200" s="229"/>
      <c r="B200" s="231"/>
      <c r="C200" s="17">
        <v>710</v>
      </c>
      <c r="D200" s="117" t="s">
        <v>26</v>
      </c>
      <c r="E200" s="18">
        <f>(E196-E195)*0.00754</f>
        <v>21.705608060973503</v>
      </c>
      <c r="F200" s="229"/>
      <c r="G200" s="17">
        <v>710</v>
      </c>
      <c r="H200" s="117" t="s">
        <v>26</v>
      </c>
      <c r="I200" s="18">
        <f>(I196-I195)*0.00754</f>
        <v>22.517026919151313</v>
      </c>
      <c r="J200" s="15">
        <f t="shared" si="13"/>
        <v>0.8114188581778095</v>
      </c>
    </row>
    <row r="201" spans="1:10" ht="12.75">
      <c r="A201" s="229"/>
      <c r="B201" s="231"/>
      <c r="C201" s="17">
        <v>713</v>
      </c>
      <c r="D201" s="117" t="s">
        <v>27</v>
      </c>
      <c r="E201" s="18">
        <f>(E196-E195)*0.007</f>
        <v>20.151095016818903</v>
      </c>
      <c r="F201" s="229"/>
      <c r="G201" s="17">
        <v>713</v>
      </c>
      <c r="H201" s="117" t="s">
        <v>27</v>
      </c>
      <c r="I201" s="18">
        <f>(I196-I195)*0.007</f>
        <v>20.904401649079468</v>
      </c>
      <c r="J201" s="15">
        <f t="shared" si="13"/>
        <v>0.7533066322605642</v>
      </c>
    </row>
    <row r="202" spans="1:10" ht="13.5" thickBot="1">
      <c r="A202" s="229"/>
      <c r="B202" s="171"/>
      <c r="C202" s="17"/>
      <c r="D202" s="118" t="s">
        <v>28</v>
      </c>
      <c r="E202" s="56">
        <v>0</v>
      </c>
      <c r="F202" s="229"/>
      <c r="G202" s="17"/>
      <c r="H202" s="118" t="s">
        <v>28</v>
      </c>
      <c r="I202" s="326">
        <f>E202</f>
        <v>0</v>
      </c>
      <c r="J202" s="15">
        <f t="shared" si="13"/>
        <v>0</v>
      </c>
    </row>
    <row r="203" spans="1:10" ht="13.5" thickBot="1">
      <c r="A203" s="229"/>
      <c r="B203" s="230"/>
      <c r="C203" s="119"/>
      <c r="D203" s="113" t="s">
        <v>29</v>
      </c>
      <c r="E203" s="136">
        <f>SUM(E197:E202)</f>
        <v>196.73226192134342</v>
      </c>
      <c r="F203" s="229"/>
      <c r="G203" s="119"/>
      <c r="H203" s="113" t="s">
        <v>29</v>
      </c>
      <c r="I203" s="136">
        <f>SUM(I197:I202)</f>
        <v>204.0866869568701</v>
      </c>
      <c r="J203" s="15">
        <f t="shared" si="13"/>
        <v>7.354425035526674</v>
      </c>
    </row>
    <row r="204" spans="1:10" ht="13.5" thickBot="1">
      <c r="A204" s="229"/>
      <c r="B204" s="230"/>
      <c r="C204" s="120"/>
      <c r="D204" s="121"/>
      <c r="E204" s="122"/>
      <c r="F204" s="229"/>
      <c r="G204" s="120"/>
      <c r="H204" s="121"/>
      <c r="I204" s="122"/>
      <c r="J204" s="15"/>
    </row>
    <row r="205" spans="1:10" ht="13.5" thickBot="1">
      <c r="A205" s="229"/>
      <c r="B205" s="229"/>
      <c r="C205" s="123"/>
      <c r="D205" s="124" t="s">
        <v>30</v>
      </c>
      <c r="E205" s="137">
        <f>E196-E203</f>
        <v>2681.9955976242145</v>
      </c>
      <c r="F205" s="229"/>
      <c r="G205" s="123"/>
      <c r="H205" s="124" t="s">
        <v>30</v>
      </c>
      <c r="I205" s="137">
        <f>I196-I203</f>
        <v>2782.256405768768</v>
      </c>
      <c r="J205" s="15">
        <f t="shared" si="13"/>
        <v>100.26080814455372</v>
      </c>
    </row>
    <row r="206" spans="1:8" ht="12.75">
      <c r="A206" s="229"/>
      <c r="B206" s="229"/>
      <c r="C206" s="229"/>
      <c r="D206" s="229"/>
      <c r="E206" s="229"/>
      <c r="F206" s="229"/>
      <c r="G206" s="229"/>
      <c r="H206" s="229"/>
    </row>
    <row r="207" spans="1:11" ht="18">
      <c r="A207" s="229"/>
      <c r="B207" s="229"/>
      <c r="C207" s="229"/>
      <c r="D207" s="229"/>
      <c r="E207" s="229"/>
      <c r="F207" s="229"/>
      <c r="G207" s="229"/>
      <c r="H207" s="320" t="s">
        <v>466</v>
      </c>
      <c r="I207" s="321">
        <f>I205-E205</f>
        <v>100.26080814455372</v>
      </c>
      <c r="J207" s="12"/>
      <c r="K207" s="127"/>
    </row>
    <row r="208" spans="1:11" ht="18.75" thickBot="1">
      <c r="A208" s="229"/>
      <c r="B208" s="229"/>
      <c r="C208" s="229"/>
      <c r="D208" s="229"/>
      <c r="E208" s="229"/>
      <c r="F208" s="229"/>
      <c r="G208" s="229"/>
      <c r="H208" s="320" t="s">
        <v>467</v>
      </c>
      <c r="I208" s="322">
        <f>I207/E205</f>
        <v>0.03738291301945742</v>
      </c>
      <c r="J208" s="12"/>
      <c r="K208" s="127"/>
    </row>
    <row r="209" spans="1:9" ht="16.5" thickTop="1">
      <c r="A209" s="229"/>
      <c r="B209" s="229"/>
      <c r="C209" s="218" t="s">
        <v>12</v>
      </c>
      <c r="D209" s="219"/>
      <c r="E209" s="220"/>
      <c r="F209" s="229"/>
      <c r="G209" s="229"/>
      <c r="H209" s="229"/>
      <c r="I209" s="15"/>
    </row>
    <row r="210" spans="1:9" ht="15.75">
      <c r="A210" s="229"/>
      <c r="B210" s="229"/>
      <c r="C210" s="221" t="s">
        <v>13</v>
      </c>
      <c r="D210" s="222"/>
      <c r="E210" s="223"/>
      <c r="F210" s="229"/>
      <c r="G210" s="229"/>
      <c r="H210" s="229"/>
      <c r="I210" s="15"/>
    </row>
    <row r="211" spans="1:8" ht="15.75">
      <c r="A211" s="229"/>
      <c r="B211" s="229"/>
      <c r="C211" s="221" t="s">
        <v>14</v>
      </c>
      <c r="D211" s="222"/>
      <c r="E211" s="223"/>
      <c r="F211" s="229"/>
      <c r="G211" s="229"/>
      <c r="H211" s="229"/>
    </row>
    <row r="212" spans="1:8" ht="15.75">
      <c r="A212" s="229"/>
      <c r="B212" s="229"/>
      <c r="C212" s="221" t="s">
        <v>383</v>
      </c>
      <c r="D212" s="222"/>
      <c r="E212" s="223"/>
      <c r="F212" s="229"/>
      <c r="G212" s="229"/>
      <c r="H212" s="229"/>
    </row>
    <row r="213" spans="1:8" ht="15.75">
      <c r="A213" s="229"/>
      <c r="B213" s="229"/>
      <c r="C213" s="224" t="s">
        <v>442</v>
      </c>
      <c r="D213" s="222"/>
      <c r="E213" s="223"/>
      <c r="F213" s="229"/>
      <c r="G213" s="229"/>
      <c r="H213" s="229"/>
    </row>
    <row r="214" spans="1:8" ht="15.75">
      <c r="A214" s="229"/>
      <c r="B214" s="229"/>
      <c r="C214" s="225" t="s">
        <v>384</v>
      </c>
      <c r="D214" s="222"/>
      <c r="E214" s="223"/>
      <c r="F214" s="229"/>
      <c r="G214" s="229"/>
      <c r="H214" s="229"/>
    </row>
    <row r="215" spans="1:8" ht="15.75" thickBot="1">
      <c r="A215" s="229"/>
      <c r="B215" s="229"/>
      <c r="C215" s="216" t="s">
        <v>440</v>
      </c>
      <c r="D215" s="217"/>
      <c r="E215" s="210"/>
      <c r="F215" s="229"/>
      <c r="G215" s="229"/>
      <c r="H215" s="229"/>
    </row>
    <row r="216" spans="1:8" ht="13.5" thickTop="1">
      <c r="A216" s="229"/>
      <c r="B216" s="229"/>
      <c r="C216" s="229"/>
      <c r="D216" s="229"/>
      <c r="E216" s="229"/>
      <c r="F216" s="229"/>
      <c r="G216" s="229"/>
      <c r="H216" s="229"/>
    </row>
    <row r="217" spans="1:8" ht="12.75">
      <c r="A217" s="229"/>
      <c r="B217" s="229"/>
      <c r="C217" s="229"/>
      <c r="D217" s="229"/>
      <c r="E217" s="229"/>
      <c r="F217" s="229"/>
      <c r="G217" s="229"/>
      <c r="H217" s="229"/>
    </row>
  </sheetData>
  <sheetProtection password="DDBB" sheet="1" objects="1" scenarios="1"/>
  <hyperlinks>
    <hyperlink ref="D9" location="cargosingreso" display="cargos de ingreso"/>
    <hyperlink ref="D10" location="horasmedia" display="horas nivel medio"/>
    <hyperlink ref="D11" location="horassuperior" display="horas nivel superior"/>
    <hyperlink ref="D8" location="instructivo" display="instructivo"/>
    <hyperlink ref="B32" location="Cargos!A1" display="Cargos"/>
    <hyperlink ref="A98" r:id="rId1" display="www.agmeruruguay.com.ar"/>
    <hyperlink ref="D12" location="Cargos!A1" display="Cargos"/>
    <hyperlink ref="C214" r:id="rId2" display="www.agmeruruguay.com.ar"/>
    <hyperlink ref="A99" r:id="rId3" display="www.celestecompromiso.com.ar"/>
    <hyperlink ref="C215" r:id="rId4" display="www.celestecompromiso.com.ar"/>
    <hyperlink ref="A97" r:id="rId5" display="victorhutt@victorhutt.com.ar"/>
    <hyperlink ref="C213" r:id="rId6" display="victorhutt@victorhutt.com.ar"/>
  </hyperlinks>
  <printOptions/>
  <pageMargins left="0.75" right="0.75" top="1" bottom="1" header="0" footer="0"/>
  <pageSetup horizontalDpi="1200" verticalDpi="1200" orientation="portrait" paperSize="9" r:id="rId9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9"/>
  <sheetViews>
    <sheetView zoomScale="75" zoomScaleNormal="75" workbookViewId="0" topLeftCell="C238">
      <selection activeCell="H281" sqref="H281"/>
    </sheetView>
  </sheetViews>
  <sheetFormatPr defaultColWidth="11.421875" defaultRowHeight="12.75"/>
  <cols>
    <col min="1" max="1" width="8.7109375" style="0" hidden="1" customWidth="1"/>
    <col min="2" max="2" width="11.421875" style="0" hidden="1" customWidth="1"/>
    <col min="3" max="3" width="16.421875" style="0" customWidth="1"/>
    <col min="5" max="5" width="23.7109375" style="0" customWidth="1"/>
    <col min="6" max="7" width="14.421875" style="0" bestFit="1" customWidth="1"/>
    <col min="11" max="11" width="23.00390625" style="0" customWidth="1"/>
    <col min="12" max="12" width="12.57421875" style="0" bestFit="1" customWidth="1"/>
  </cols>
  <sheetData>
    <row r="1" spans="4:11" ht="12.75">
      <c r="D1" s="252"/>
      <c r="E1" s="252"/>
      <c r="F1" s="252"/>
      <c r="G1" s="252"/>
      <c r="H1" s="252"/>
      <c r="I1" s="252"/>
      <c r="J1" s="252"/>
      <c r="K1" s="252"/>
    </row>
    <row r="2" spans="4:11" ht="15.75">
      <c r="D2" s="253" t="s">
        <v>446</v>
      </c>
      <c r="E2" s="252"/>
      <c r="F2" s="252"/>
      <c r="G2" s="252"/>
      <c r="H2" s="252"/>
      <c r="I2" s="252"/>
      <c r="J2" s="252"/>
      <c r="K2" s="252"/>
    </row>
    <row r="3" spans="3:16" ht="15.75" hidden="1">
      <c r="C3" s="146" t="s">
        <v>397</v>
      </c>
      <c r="D3" s="146"/>
      <c r="E3" s="147" t="s">
        <v>394</v>
      </c>
      <c r="F3" s="199">
        <v>5</v>
      </c>
      <c r="G3" s="200" t="s">
        <v>428</v>
      </c>
      <c r="H3" s="200" t="s">
        <v>429</v>
      </c>
      <c r="I3" s="200" t="s">
        <v>430</v>
      </c>
      <c r="J3" s="200" t="s">
        <v>431</v>
      </c>
      <c r="K3" s="254" t="s">
        <v>432</v>
      </c>
      <c r="L3" s="200" t="s">
        <v>433</v>
      </c>
      <c r="M3" s="200">
        <v>1</v>
      </c>
      <c r="N3" s="200">
        <v>2</v>
      </c>
      <c r="O3" s="200">
        <v>3</v>
      </c>
      <c r="P3" s="200">
        <v>4</v>
      </c>
    </row>
    <row r="4" spans="1:16" ht="13.5" hidden="1" thickBot="1">
      <c r="A4">
        <v>1</v>
      </c>
      <c r="C4" s="146"/>
      <c r="D4" s="146"/>
      <c r="E4" s="147"/>
      <c r="F4" s="171"/>
      <c r="G4" s="11" t="s">
        <v>447</v>
      </c>
      <c r="H4" s="172" t="s">
        <v>435</v>
      </c>
      <c r="I4" s="172" t="s">
        <v>436</v>
      </c>
      <c r="J4" s="172" t="s">
        <v>437</v>
      </c>
      <c r="K4" s="255" t="s">
        <v>438</v>
      </c>
      <c r="L4" s="172" t="s">
        <v>439</v>
      </c>
      <c r="M4" s="172"/>
      <c r="N4" s="172"/>
      <c r="O4" s="172"/>
      <c r="P4" s="11"/>
    </row>
    <row r="5" spans="1:16" ht="13.5" hidden="1" thickBot="1">
      <c r="A5">
        <v>1</v>
      </c>
      <c r="C5" s="148" t="s">
        <v>21</v>
      </c>
      <c r="D5" s="149" t="s">
        <v>395</v>
      </c>
      <c r="E5" s="150" t="s">
        <v>396</v>
      </c>
      <c r="F5" s="173"/>
      <c r="G5" s="174" t="s">
        <v>404</v>
      </c>
      <c r="H5" s="11"/>
      <c r="I5" s="11"/>
      <c r="J5" s="11"/>
      <c r="K5" s="126"/>
      <c r="L5" s="11"/>
      <c r="M5" s="11"/>
      <c r="N5" s="11"/>
      <c r="O5" s="11"/>
      <c r="P5" s="11"/>
    </row>
    <row r="6" spans="1:16" ht="16.5" hidden="1" thickBot="1">
      <c r="A6">
        <v>1</v>
      </c>
      <c r="C6" s="151">
        <v>0</v>
      </c>
      <c r="D6" s="152">
        <v>0</v>
      </c>
      <c r="E6" s="153">
        <f aca="true" t="shared" si="0" ref="E6:E17">D6*1.5</f>
        <v>0</v>
      </c>
      <c r="F6" s="175">
        <f>IF(puntosproljorvarios1&lt;620,P6,L6)</f>
        <v>0</v>
      </c>
      <c r="G6" s="176">
        <v>0</v>
      </c>
      <c r="H6" s="201">
        <v>0</v>
      </c>
      <c r="I6" s="202">
        <v>0</v>
      </c>
      <c r="J6" s="203">
        <v>0</v>
      </c>
      <c r="K6" s="256">
        <v>0</v>
      </c>
      <c r="L6" s="19">
        <v>0</v>
      </c>
      <c r="M6" s="205">
        <f>IF(punbasjubvarios1&lt;1170,G6,H6)</f>
        <v>0</v>
      </c>
      <c r="N6" s="205">
        <f>IF(punbasjubvarios1&lt;1401,M6,I6)</f>
        <v>0</v>
      </c>
      <c r="O6" s="205">
        <f>IF(punbasjubvarios1&lt;1943,N6,J6)</f>
        <v>0</v>
      </c>
      <c r="P6" s="205">
        <f>IF(punbasjubvarios1&lt;=2220,O6,K6)</f>
        <v>0</v>
      </c>
    </row>
    <row r="7" spans="1:16" ht="16.5" hidden="1" thickBot="1">
      <c r="A7">
        <v>1</v>
      </c>
      <c r="C7" s="154">
        <v>0.1</v>
      </c>
      <c r="D7" s="155">
        <v>0</v>
      </c>
      <c r="E7" s="153">
        <f t="shared" si="0"/>
        <v>0</v>
      </c>
      <c r="F7" s="175">
        <f aca="true" t="shared" si="1" ref="F7:F17">IF(puntosproljorvarios1&lt;620,P7,L7)</f>
        <v>0</v>
      </c>
      <c r="G7" s="176">
        <v>0</v>
      </c>
      <c r="H7" s="201">
        <v>0</v>
      </c>
      <c r="I7" s="202">
        <v>0</v>
      </c>
      <c r="J7" s="203">
        <v>0</v>
      </c>
      <c r="K7" s="256">
        <v>0</v>
      </c>
      <c r="L7" s="19">
        <v>0</v>
      </c>
      <c r="M7" s="205">
        <f aca="true" t="shared" si="2" ref="M7:M17">IF(punbasjubvarios1&lt;1170,G7,H7)</f>
        <v>0</v>
      </c>
      <c r="N7" s="205">
        <f aca="true" t="shared" si="3" ref="N7:N17">IF(punbasjubvarios1&lt;1401,M7,I7)</f>
        <v>0</v>
      </c>
      <c r="O7" s="205">
        <f aca="true" t="shared" si="4" ref="O7:O17">IF(punbasjubvarios1&lt;1943,N7,J7)</f>
        <v>0</v>
      </c>
      <c r="P7" s="205">
        <f aca="true" t="shared" si="5" ref="P7:P17">IF(punbasjubvarios1&lt;=2220,O7,K7)</f>
        <v>0</v>
      </c>
    </row>
    <row r="8" spans="1:16" ht="16.5" hidden="1" thickBot="1">
      <c r="A8">
        <v>1</v>
      </c>
      <c r="C8" s="156">
        <v>0.15</v>
      </c>
      <c r="D8" s="157">
        <v>58</v>
      </c>
      <c r="E8" s="160">
        <f t="shared" si="0"/>
        <v>87</v>
      </c>
      <c r="F8" s="175">
        <f t="shared" si="1"/>
        <v>100</v>
      </c>
      <c r="G8" s="176">
        <v>100</v>
      </c>
      <c r="H8" s="206">
        <v>160</v>
      </c>
      <c r="I8" s="207">
        <v>113</v>
      </c>
      <c r="J8" s="208">
        <v>100</v>
      </c>
      <c r="K8" s="256">
        <v>0</v>
      </c>
      <c r="L8" s="19">
        <v>140</v>
      </c>
      <c r="M8" s="205">
        <f t="shared" si="2"/>
        <v>100</v>
      </c>
      <c r="N8" s="205">
        <f t="shared" si="3"/>
        <v>100</v>
      </c>
      <c r="O8" s="205">
        <f t="shared" si="4"/>
        <v>100</v>
      </c>
      <c r="P8" s="205">
        <f t="shared" si="5"/>
        <v>100</v>
      </c>
    </row>
    <row r="9" spans="1:16" ht="16.5" hidden="1" thickBot="1">
      <c r="A9">
        <v>1</v>
      </c>
      <c r="C9" s="156">
        <v>0.3</v>
      </c>
      <c r="D9" s="157">
        <v>58</v>
      </c>
      <c r="E9" s="160">
        <f t="shared" si="0"/>
        <v>87</v>
      </c>
      <c r="F9" s="175">
        <f t="shared" si="1"/>
        <v>115</v>
      </c>
      <c r="G9" s="176">
        <v>115</v>
      </c>
      <c r="H9" s="206">
        <v>160</v>
      </c>
      <c r="I9" s="207">
        <v>113</v>
      </c>
      <c r="J9" s="208">
        <v>100</v>
      </c>
      <c r="K9" s="256">
        <v>0</v>
      </c>
      <c r="L9" s="19">
        <v>270</v>
      </c>
      <c r="M9" s="205">
        <f t="shared" si="2"/>
        <v>115</v>
      </c>
      <c r="N9" s="205">
        <f t="shared" si="3"/>
        <v>115</v>
      </c>
      <c r="O9" s="205">
        <f t="shared" si="4"/>
        <v>115</v>
      </c>
      <c r="P9" s="205">
        <f t="shared" si="5"/>
        <v>115</v>
      </c>
    </row>
    <row r="10" spans="1:18" ht="16.5" hidden="1" thickBot="1">
      <c r="A10">
        <v>1</v>
      </c>
      <c r="C10" s="156">
        <v>0.4</v>
      </c>
      <c r="D10" s="157">
        <v>58</v>
      </c>
      <c r="E10" s="160">
        <f t="shared" si="0"/>
        <v>87</v>
      </c>
      <c r="F10" s="175">
        <f t="shared" si="1"/>
        <v>130</v>
      </c>
      <c r="G10" s="176">
        <v>130</v>
      </c>
      <c r="H10" s="206">
        <v>170</v>
      </c>
      <c r="I10" s="207">
        <v>120</v>
      </c>
      <c r="J10" s="208">
        <v>100</v>
      </c>
      <c r="K10" s="256">
        <v>60</v>
      </c>
      <c r="L10" s="19">
        <v>320</v>
      </c>
      <c r="M10" s="205">
        <f t="shared" si="2"/>
        <v>130</v>
      </c>
      <c r="N10" s="205">
        <f t="shared" si="3"/>
        <v>130</v>
      </c>
      <c r="O10" s="205">
        <f t="shared" si="4"/>
        <v>130</v>
      </c>
      <c r="P10" s="205">
        <f t="shared" si="5"/>
        <v>130</v>
      </c>
      <c r="R10" s="187">
        <f>LOOKUP(F39,C6:C17,F6:F17)</f>
        <v>430</v>
      </c>
    </row>
    <row r="11" spans="1:16" ht="16.5" hidden="1" thickBot="1">
      <c r="A11">
        <v>1</v>
      </c>
      <c r="C11" s="156">
        <v>0.5</v>
      </c>
      <c r="D11" s="157">
        <v>68</v>
      </c>
      <c r="E11" s="160">
        <f t="shared" si="0"/>
        <v>102</v>
      </c>
      <c r="F11" s="175">
        <f t="shared" si="1"/>
        <v>150</v>
      </c>
      <c r="G11" s="176">
        <v>150</v>
      </c>
      <c r="H11" s="206">
        <v>170</v>
      </c>
      <c r="I11" s="178">
        <v>120</v>
      </c>
      <c r="J11" s="208">
        <v>100</v>
      </c>
      <c r="K11" s="256">
        <v>60</v>
      </c>
      <c r="L11" s="19">
        <v>355</v>
      </c>
      <c r="M11" s="205">
        <f t="shared" si="2"/>
        <v>150</v>
      </c>
      <c r="N11" s="205">
        <f t="shared" si="3"/>
        <v>150</v>
      </c>
      <c r="O11" s="205">
        <f t="shared" si="4"/>
        <v>150</v>
      </c>
      <c r="P11" s="205">
        <f t="shared" si="5"/>
        <v>150</v>
      </c>
    </row>
    <row r="12" spans="1:16" ht="16.5" hidden="1" thickBot="1">
      <c r="A12">
        <v>1</v>
      </c>
      <c r="C12" s="156">
        <v>0.6</v>
      </c>
      <c r="D12" s="157">
        <v>74</v>
      </c>
      <c r="E12" s="160">
        <f t="shared" si="0"/>
        <v>111</v>
      </c>
      <c r="F12" s="175">
        <f t="shared" si="1"/>
        <v>180</v>
      </c>
      <c r="G12" s="176">
        <v>180</v>
      </c>
      <c r="H12" s="206">
        <v>180</v>
      </c>
      <c r="I12" s="178">
        <v>123</v>
      </c>
      <c r="J12" s="208">
        <v>110</v>
      </c>
      <c r="K12" s="256">
        <v>80</v>
      </c>
      <c r="L12" s="19">
        <v>370</v>
      </c>
      <c r="M12" s="205">
        <f t="shared" si="2"/>
        <v>180</v>
      </c>
      <c r="N12" s="205">
        <f t="shared" si="3"/>
        <v>180</v>
      </c>
      <c r="O12" s="205">
        <f t="shared" si="4"/>
        <v>180</v>
      </c>
      <c r="P12" s="205">
        <f t="shared" si="5"/>
        <v>180</v>
      </c>
    </row>
    <row r="13" spans="1:16" ht="16.5" hidden="1" thickBot="1">
      <c r="A13">
        <v>1</v>
      </c>
      <c r="C13" s="156">
        <v>0.7</v>
      </c>
      <c r="D13" s="157">
        <v>74</v>
      </c>
      <c r="E13" s="160">
        <f t="shared" si="0"/>
        <v>111</v>
      </c>
      <c r="F13" s="175">
        <f t="shared" si="1"/>
        <v>205</v>
      </c>
      <c r="G13" s="176">
        <v>205</v>
      </c>
      <c r="H13" s="206">
        <v>205</v>
      </c>
      <c r="I13" s="178">
        <v>150</v>
      </c>
      <c r="J13" s="208">
        <v>110</v>
      </c>
      <c r="K13" s="256">
        <v>80</v>
      </c>
      <c r="L13" s="19">
        <v>385</v>
      </c>
      <c r="M13" s="205">
        <f t="shared" si="2"/>
        <v>205</v>
      </c>
      <c r="N13" s="205">
        <f t="shared" si="3"/>
        <v>205</v>
      </c>
      <c r="O13" s="205">
        <f t="shared" si="4"/>
        <v>205</v>
      </c>
      <c r="P13" s="205">
        <f t="shared" si="5"/>
        <v>205</v>
      </c>
    </row>
    <row r="14" spans="1:16" ht="16.5" hidden="1" thickBot="1">
      <c r="A14">
        <v>1</v>
      </c>
      <c r="C14" s="156">
        <v>0.8</v>
      </c>
      <c r="D14" s="157">
        <v>80</v>
      </c>
      <c r="E14" s="160">
        <f t="shared" si="0"/>
        <v>120</v>
      </c>
      <c r="F14" s="175">
        <f t="shared" si="1"/>
        <v>265</v>
      </c>
      <c r="G14" s="176">
        <v>265</v>
      </c>
      <c r="H14" s="177">
        <v>315</v>
      </c>
      <c r="I14" s="178">
        <v>260</v>
      </c>
      <c r="J14" s="209">
        <v>200</v>
      </c>
      <c r="K14" s="257">
        <v>100</v>
      </c>
      <c r="L14" s="19">
        <v>395</v>
      </c>
      <c r="M14" s="205">
        <f t="shared" si="2"/>
        <v>265</v>
      </c>
      <c r="N14" s="205">
        <f t="shared" si="3"/>
        <v>265</v>
      </c>
      <c r="O14" s="205">
        <f t="shared" si="4"/>
        <v>265</v>
      </c>
      <c r="P14" s="205">
        <f t="shared" si="5"/>
        <v>265</v>
      </c>
    </row>
    <row r="15" spans="1:16" ht="16.5" hidden="1" thickBot="1">
      <c r="A15">
        <v>1</v>
      </c>
      <c r="C15" s="156">
        <v>1</v>
      </c>
      <c r="D15" s="157">
        <v>80</v>
      </c>
      <c r="E15" s="160">
        <f t="shared" si="0"/>
        <v>120</v>
      </c>
      <c r="F15" s="175">
        <f t="shared" si="1"/>
        <v>355</v>
      </c>
      <c r="G15" s="176">
        <v>355</v>
      </c>
      <c r="H15" s="177">
        <v>330</v>
      </c>
      <c r="I15" s="178">
        <v>250</v>
      </c>
      <c r="J15" s="209">
        <v>230</v>
      </c>
      <c r="K15" s="257">
        <v>100</v>
      </c>
      <c r="L15" s="19">
        <v>410</v>
      </c>
      <c r="M15" s="205">
        <f t="shared" si="2"/>
        <v>355</v>
      </c>
      <c r="N15" s="205">
        <f t="shared" si="3"/>
        <v>355</v>
      </c>
      <c r="O15" s="205">
        <f t="shared" si="4"/>
        <v>355</v>
      </c>
      <c r="P15" s="205">
        <f t="shared" si="5"/>
        <v>355</v>
      </c>
    </row>
    <row r="16" spans="1:16" ht="16.5" hidden="1" thickBot="1">
      <c r="A16">
        <v>1</v>
      </c>
      <c r="C16" s="156">
        <v>1.1</v>
      </c>
      <c r="D16" s="157">
        <v>84</v>
      </c>
      <c r="E16" s="160">
        <f t="shared" si="0"/>
        <v>126</v>
      </c>
      <c r="F16" s="175">
        <f t="shared" si="1"/>
        <v>415</v>
      </c>
      <c r="G16" s="176">
        <v>415</v>
      </c>
      <c r="H16" s="177">
        <v>350</v>
      </c>
      <c r="I16" s="178">
        <v>250</v>
      </c>
      <c r="J16" s="209">
        <v>240</v>
      </c>
      <c r="K16" s="257">
        <v>110</v>
      </c>
      <c r="L16" s="19">
        <v>425</v>
      </c>
      <c r="M16" s="205">
        <f t="shared" si="2"/>
        <v>415</v>
      </c>
      <c r="N16" s="205">
        <f t="shared" si="3"/>
        <v>415</v>
      </c>
      <c r="O16" s="205">
        <f t="shared" si="4"/>
        <v>415</v>
      </c>
      <c r="P16" s="205">
        <f t="shared" si="5"/>
        <v>415</v>
      </c>
    </row>
    <row r="17" spans="1:16" ht="16.5" hidden="1" thickBot="1">
      <c r="A17">
        <v>1</v>
      </c>
      <c r="C17" s="158">
        <v>1.2</v>
      </c>
      <c r="D17" s="159">
        <v>84</v>
      </c>
      <c r="E17" s="160">
        <f t="shared" si="0"/>
        <v>126</v>
      </c>
      <c r="F17" s="175">
        <f t="shared" si="1"/>
        <v>430</v>
      </c>
      <c r="G17" s="176">
        <v>430</v>
      </c>
      <c r="H17" s="177">
        <v>400</v>
      </c>
      <c r="I17" s="178">
        <v>255</v>
      </c>
      <c r="J17" s="209">
        <v>250</v>
      </c>
      <c r="K17" s="257">
        <v>110</v>
      </c>
      <c r="L17" s="19">
        <v>430</v>
      </c>
      <c r="M17" s="205">
        <f t="shared" si="2"/>
        <v>430</v>
      </c>
      <c r="N17" s="205">
        <f t="shared" si="3"/>
        <v>430</v>
      </c>
      <c r="O17" s="205">
        <f t="shared" si="4"/>
        <v>430</v>
      </c>
      <c r="P17" s="205">
        <f t="shared" si="5"/>
        <v>430</v>
      </c>
    </row>
    <row r="18" spans="1:11" ht="12.75" hidden="1">
      <c r="A18">
        <v>1</v>
      </c>
      <c r="K18" s="258"/>
    </row>
    <row r="19" spans="1:11" ht="12.75" hidden="1">
      <c r="A19">
        <v>1</v>
      </c>
      <c r="E19">
        <f>LOOKUP(F39,C6:C68,E6:E17)</f>
        <v>126</v>
      </c>
      <c r="K19" s="258"/>
    </row>
    <row r="20" spans="1:11" ht="12.75" hidden="1">
      <c r="A20">
        <v>1</v>
      </c>
      <c r="K20" s="258"/>
    </row>
    <row r="21" spans="1:11" ht="12.75" hidden="1">
      <c r="A21">
        <v>1</v>
      </c>
      <c r="K21" s="258"/>
    </row>
    <row r="22" spans="1:11" ht="12.75" hidden="1">
      <c r="A22">
        <v>1</v>
      </c>
      <c r="K22" s="258"/>
    </row>
    <row r="23" spans="1:11" ht="12.75" hidden="1">
      <c r="A23">
        <v>1</v>
      </c>
      <c r="K23" s="258"/>
    </row>
    <row r="24" spans="1:11" ht="12.75">
      <c r="A24">
        <v>1</v>
      </c>
      <c r="K24" s="258"/>
    </row>
    <row r="25" spans="1:14" ht="20.25">
      <c r="A25">
        <v>1</v>
      </c>
      <c r="B25" s="2"/>
      <c r="C25" s="11"/>
      <c r="D25" s="11"/>
      <c r="E25" s="96" t="s">
        <v>448</v>
      </c>
      <c r="F25" s="11"/>
      <c r="G25" s="11"/>
      <c r="H25" s="11"/>
      <c r="I25" s="11"/>
      <c r="J25" s="11"/>
      <c r="K25" s="259"/>
      <c r="L25" s="260"/>
      <c r="M25" s="261"/>
      <c r="N25" s="261"/>
    </row>
    <row r="26" spans="1:14" ht="12.75">
      <c r="A26">
        <v>1</v>
      </c>
      <c r="B26" s="2"/>
      <c r="C26" s="2"/>
      <c r="D26" s="2"/>
      <c r="E26" s="2"/>
      <c r="F26" s="12"/>
      <c r="G26" s="12"/>
      <c r="H26" s="10"/>
      <c r="I26" s="12"/>
      <c r="J26" s="2"/>
      <c r="K26" s="259"/>
      <c r="L26" s="260"/>
      <c r="M26" s="261"/>
      <c r="N26" s="261"/>
    </row>
    <row r="27" spans="1:14" ht="12.75">
      <c r="A27">
        <v>1</v>
      </c>
      <c r="D27" s="49" t="s">
        <v>53</v>
      </c>
      <c r="E27" s="49" t="s">
        <v>357</v>
      </c>
      <c r="F27" s="49" t="s">
        <v>358</v>
      </c>
      <c r="G27" s="49" t="s">
        <v>359</v>
      </c>
      <c r="H27" s="49" t="s">
        <v>360</v>
      </c>
      <c r="I27" s="12"/>
      <c r="J27" s="2"/>
      <c r="K27" s="259"/>
      <c r="L27" s="260"/>
      <c r="M27" s="261"/>
      <c r="N27" s="261"/>
    </row>
    <row r="28" spans="1:14" ht="16.5" thickBot="1">
      <c r="A28">
        <v>1</v>
      </c>
      <c r="D28" s="139">
        <v>749</v>
      </c>
      <c r="E28" s="97">
        <f>LOOKUP(D28,[0]!numerocargo,[0]!puntosbasicoscargo)</f>
        <v>971</v>
      </c>
      <c r="F28" s="97">
        <f>LOOKUP(D28,[0]!numerocargo,[0]!tardifcargo)</f>
        <v>0</v>
      </c>
      <c r="G28" s="97">
        <f>LOOKUP(D28,[0]!numerocargo,[0]!proljorcargo)</f>
        <v>0</v>
      </c>
      <c r="H28" s="97">
        <f>LOOKUP(D28,[0]!numerocargo,[0]!jorcomcargo)</f>
        <v>0</v>
      </c>
      <c r="I28" s="12"/>
      <c r="J28" s="2"/>
      <c r="K28" s="259"/>
      <c r="L28" s="260"/>
      <c r="M28" s="261"/>
      <c r="N28" s="261"/>
    </row>
    <row r="29" spans="1:14" ht="13.5" thickBot="1">
      <c r="A29">
        <v>1</v>
      </c>
      <c r="D29" s="98" t="s">
        <v>54</v>
      </c>
      <c r="E29" s="99" t="str">
        <f>LOOKUP(D28,[0]!numerocargo,[0]!nombrecargo)</f>
        <v> MAESTRO DE GRADO</v>
      </c>
      <c r="F29" s="47"/>
      <c r="G29" s="47"/>
      <c r="H29" s="72"/>
      <c r="I29" s="12"/>
      <c r="J29" s="2"/>
      <c r="K29" s="259"/>
      <c r="L29" s="260"/>
      <c r="M29" s="261"/>
      <c r="N29" s="261"/>
    </row>
    <row r="30" spans="1:14" ht="13.5" thickBot="1">
      <c r="A30">
        <v>1</v>
      </c>
      <c r="D30" s="262"/>
      <c r="E30" s="10"/>
      <c r="F30" s="2"/>
      <c r="G30" s="2"/>
      <c r="H30" s="2"/>
      <c r="I30" s="166" t="s">
        <v>388</v>
      </c>
      <c r="J30" s="2"/>
      <c r="K30" s="57"/>
      <c r="L30" s="2"/>
      <c r="M30" s="11"/>
      <c r="N30" s="11"/>
    </row>
    <row r="31" spans="1:14" ht="19.5" thickBot="1" thickTop="1">
      <c r="A31">
        <v>1</v>
      </c>
      <c r="D31" s="263" t="s">
        <v>376</v>
      </c>
      <c r="E31" s="145"/>
      <c r="F31" s="145"/>
      <c r="G31" s="145"/>
      <c r="H31" s="264">
        <v>120</v>
      </c>
      <c r="I31" s="167">
        <f>H31/120</f>
        <v>1</v>
      </c>
      <c r="J31" s="2"/>
      <c r="K31" s="57"/>
      <c r="L31" s="2"/>
      <c r="M31" s="11"/>
      <c r="N31" s="11"/>
    </row>
    <row r="32" spans="1:14" ht="17.25" thickBot="1" thickTop="1">
      <c r="A32">
        <v>1</v>
      </c>
      <c r="B32" s="262"/>
      <c r="C32" s="10"/>
      <c r="D32" s="2"/>
      <c r="E32" s="2"/>
      <c r="F32" s="265"/>
      <c r="G32" s="12"/>
      <c r="H32" s="10"/>
      <c r="I32" s="12"/>
      <c r="J32" s="2"/>
      <c r="K32" s="57"/>
      <c r="L32" s="2"/>
      <c r="M32" s="11"/>
      <c r="N32" s="11"/>
    </row>
    <row r="33" spans="1:14" ht="17.25" thickBot="1" thickTop="1">
      <c r="A33">
        <v>1</v>
      </c>
      <c r="B33" s="262"/>
      <c r="D33" s="143" t="s">
        <v>390</v>
      </c>
      <c r="E33" s="170">
        <v>0</v>
      </c>
      <c r="F33" s="265"/>
      <c r="G33" s="12"/>
      <c r="H33" s="10"/>
      <c r="I33" s="12"/>
      <c r="J33" s="2"/>
      <c r="K33" s="57"/>
      <c r="L33" s="2"/>
      <c r="M33" s="11"/>
      <c r="N33" s="11"/>
    </row>
    <row r="34" spans="1:14" ht="14.25" thickBot="1" thickTop="1">
      <c r="A34">
        <v>1</v>
      </c>
      <c r="B34" s="262"/>
      <c r="C34" s="10"/>
      <c r="D34" s="2"/>
      <c r="E34" s="2"/>
      <c r="F34" s="2"/>
      <c r="G34" s="12"/>
      <c r="H34" s="10"/>
      <c r="I34" s="12"/>
      <c r="J34" s="2"/>
      <c r="K34" s="57"/>
      <c r="L34" s="2"/>
      <c r="M34" s="11"/>
      <c r="N34" s="11"/>
    </row>
    <row r="35" spans="1:14" ht="16.5" thickBot="1">
      <c r="A35">
        <v>1</v>
      </c>
      <c r="B35" s="262"/>
      <c r="C35" s="10"/>
      <c r="D35" s="100" t="s">
        <v>361</v>
      </c>
      <c r="E35" s="46"/>
      <c r="F35" s="101">
        <f>(valorcod038+(E28*0.2107+valorcod038)*2.2*0.07)*0.216</f>
        <v>28.252146340800003</v>
      </c>
      <c r="G35" s="168"/>
      <c r="H35" s="266"/>
      <c r="I35" s="2"/>
      <c r="J35" s="2"/>
      <c r="K35" s="57"/>
      <c r="L35" s="2"/>
      <c r="M35" s="11"/>
      <c r="N35" s="11"/>
    </row>
    <row r="36" spans="1:14" ht="12.75">
      <c r="A36">
        <v>1</v>
      </c>
      <c r="B36" s="262"/>
      <c r="C36" s="10"/>
      <c r="D36" s="2"/>
      <c r="E36" s="2"/>
      <c r="F36" s="2"/>
      <c r="G36" s="2"/>
      <c r="H36" s="10"/>
      <c r="I36" s="2"/>
      <c r="J36" s="2"/>
      <c r="K36" s="57"/>
      <c r="L36" s="2"/>
      <c r="M36" s="11"/>
      <c r="N36" s="11"/>
    </row>
    <row r="37" spans="1:14" ht="13.5" thickBot="1">
      <c r="A37">
        <v>1</v>
      </c>
      <c r="B37" s="2"/>
      <c r="C37" s="11"/>
      <c r="D37" s="11"/>
      <c r="E37" s="11"/>
      <c r="F37" s="11"/>
      <c r="G37" s="11"/>
      <c r="H37" s="11"/>
      <c r="I37" s="11"/>
      <c r="J37" s="11"/>
      <c r="K37" s="126"/>
      <c r="L37" s="11"/>
      <c r="M37" s="11"/>
      <c r="N37" s="11"/>
    </row>
    <row r="38" spans="1:14" ht="16.5" thickBot="1">
      <c r="A38">
        <v>1</v>
      </c>
      <c r="B38" s="2"/>
      <c r="C38" s="11"/>
      <c r="D38" s="102" t="s">
        <v>15</v>
      </c>
      <c r="E38" s="47"/>
      <c r="F38" s="103">
        <f>E28*indicefeb07</f>
        <v>441.1253</v>
      </c>
      <c r="G38" s="11"/>
      <c r="H38" s="11"/>
      <c r="I38" s="11"/>
      <c r="J38" s="104"/>
      <c r="K38" s="267"/>
      <c r="L38" s="11"/>
      <c r="M38" s="11"/>
      <c r="N38" s="11"/>
    </row>
    <row r="39" spans="1:14" ht="16.5" thickBot="1">
      <c r="A39">
        <v>1</v>
      </c>
      <c r="B39" s="2"/>
      <c r="C39" s="11"/>
      <c r="D39" s="102" t="s">
        <v>16</v>
      </c>
      <c r="E39" s="47"/>
      <c r="F39" s="142">
        <v>1.2</v>
      </c>
      <c r="G39" s="11" t="s">
        <v>17</v>
      </c>
      <c r="H39" s="11"/>
      <c r="I39" s="11"/>
      <c r="J39" s="11"/>
      <c r="K39" s="267"/>
      <c r="L39" s="11"/>
      <c r="M39" s="11"/>
      <c r="N39" s="11"/>
    </row>
    <row r="40" spans="1:14" ht="15.75">
      <c r="A40">
        <v>1</v>
      </c>
      <c r="B40" s="2"/>
      <c r="C40" s="11"/>
      <c r="D40" s="57"/>
      <c r="E40" s="57"/>
      <c r="F40" s="268"/>
      <c r="G40" s="126"/>
      <c r="H40" s="126"/>
      <c r="I40" s="126"/>
      <c r="J40" s="126"/>
      <c r="K40" s="269"/>
      <c r="L40" s="11"/>
      <c r="M40" s="11"/>
      <c r="N40" s="11"/>
    </row>
    <row r="41" spans="1:14" ht="18.75" hidden="1" thickBot="1">
      <c r="A41">
        <v>1</v>
      </c>
      <c r="B41" s="2"/>
      <c r="C41" s="11"/>
      <c r="D41" s="106" t="s">
        <v>18</v>
      </c>
      <c r="E41" s="106"/>
      <c r="F41" s="107">
        <f>E28</f>
        <v>971</v>
      </c>
      <c r="G41" s="11" t="s">
        <v>19</v>
      </c>
      <c r="H41" s="11"/>
      <c r="I41" s="104">
        <f>H28</f>
        <v>0</v>
      </c>
      <c r="J41" s="2"/>
      <c r="K41" s="11"/>
      <c r="L41" s="11"/>
      <c r="M41" s="11"/>
      <c r="N41" s="11"/>
    </row>
    <row r="42" spans="1:8" ht="12.75" hidden="1">
      <c r="A42">
        <v>1</v>
      </c>
      <c r="B42" s="2"/>
      <c r="C42" s="11"/>
      <c r="D42" s="19">
        <v>400</v>
      </c>
      <c r="E42" s="19" t="s">
        <v>20</v>
      </c>
      <c r="F42" s="109">
        <f>punbasjubvarios1*indicefeb07*0.82*frac1</f>
        <v>361.722746</v>
      </c>
      <c r="G42" s="11"/>
      <c r="H42" s="11"/>
    </row>
    <row r="43" spans="1:8" ht="12.75" hidden="1">
      <c r="A43">
        <v>1</v>
      </c>
      <c r="B43" s="2"/>
      <c r="C43" s="11"/>
      <c r="D43" s="19">
        <v>404</v>
      </c>
      <c r="E43" s="19" t="s">
        <v>364</v>
      </c>
      <c r="F43" s="109">
        <f>F28*indicefeb07*0.82*frac1</f>
        <v>0</v>
      </c>
      <c r="G43" s="11"/>
      <c r="H43" s="11"/>
    </row>
    <row r="44" spans="1:8" ht="12.75" hidden="1">
      <c r="A44">
        <v>1</v>
      </c>
      <c r="B44" s="2"/>
      <c r="C44" s="11"/>
      <c r="D44" s="19">
        <v>406</v>
      </c>
      <c r="E44" s="19" t="s">
        <v>21</v>
      </c>
      <c r="F44" s="109">
        <f>(F42+F48+F43+F46+F51)*F39</f>
        <v>434.06729519999993</v>
      </c>
      <c r="G44" s="11"/>
      <c r="H44" s="11"/>
    </row>
    <row r="45" spans="1:8" ht="12.75" hidden="1">
      <c r="A45">
        <v>1</v>
      </c>
      <c r="B45" s="2"/>
      <c r="C45" s="11"/>
      <c r="D45" s="19">
        <v>408</v>
      </c>
      <c r="E45" s="19" t="s">
        <v>389</v>
      </c>
      <c r="F45" s="109">
        <f>(F42+F46+F48+F51)*E33</f>
        <v>0</v>
      </c>
      <c r="G45" s="11"/>
      <c r="H45" s="11"/>
    </row>
    <row r="46" spans="1:8" ht="12.75" hidden="1">
      <c r="A46">
        <v>1</v>
      </c>
      <c r="B46" s="2"/>
      <c r="C46" s="11"/>
      <c r="D46" s="19">
        <v>416</v>
      </c>
      <c r="E46" s="110" t="s">
        <v>365</v>
      </c>
      <c r="F46" s="109">
        <f>(G28+H28)*proljorfeb07*0.82*frac1</f>
        <v>0</v>
      </c>
      <c r="G46" s="11"/>
      <c r="H46" s="11"/>
    </row>
    <row r="47" spans="1:8" ht="12.75" hidden="1">
      <c r="A47">
        <v>1</v>
      </c>
      <c r="B47" s="2"/>
      <c r="C47" s="15"/>
      <c r="D47" s="19">
        <v>432</v>
      </c>
      <c r="E47" s="19" t="s">
        <v>387</v>
      </c>
      <c r="F47" s="109">
        <f>cod06feb07varios1*0.82*frac1</f>
        <v>352.59999999999997</v>
      </c>
      <c r="G47" s="11"/>
      <c r="H47" s="11"/>
    </row>
    <row r="48" spans="1:8" ht="12.75" hidden="1">
      <c r="A48">
        <v>1</v>
      </c>
      <c r="B48" s="2"/>
      <c r="C48" s="15"/>
      <c r="D48" s="19">
        <v>542</v>
      </c>
      <c r="E48" s="19" t="s">
        <v>449</v>
      </c>
      <c r="F48" s="109">
        <f>cod38feb07*0.82*frac1</f>
        <v>0</v>
      </c>
      <c r="G48" s="11"/>
      <c r="H48" s="11"/>
    </row>
    <row r="49" spans="1:8" ht="12.75" hidden="1">
      <c r="A49">
        <v>1</v>
      </c>
      <c r="B49" s="2"/>
      <c r="C49" s="15"/>
      <c r="D49" s="19">
        <v>434</v>
      </c>
      <c r="E49" s="19" t="s">
        <v>362</v>
      </c>
      <c r="F49" s="109">
        <f>(F42+F43+F44+F46+F47+F48+F45+F51+F52)*0.07*0.95</f>
        <v>76.36793773979998</v>
      </c>
      <c r="G49" s="11"/>
      <c r="H49" s="11"/>
    </row>
    <row r="50" spans="1:8" ht="12.75" hidden="1">
      <c r="A50">
        <v>1</v>
      </c>
      <c r="B50" s="2"/>
      <c r="C50" s="15"/>
      <c r="D50" s="19">
        <v>438</v>
      </c>
      <c r="E50" s="19" t="s">
        <v>363</v>
      </c>
      <c r="F50" s="109">
        <f>F35*0.82*frac1</f>
        <v>23.166759999456</v>
      </c>
      <c r="G50" s="11"/>
      <c r="H50" s="11"/>
    </row>
    <row r="51" spans="1:8" ht="12.75" hidden="1">
      <c r="A51">
        <v>1</v>
      </c>
      <c r="B51" s="2"/>
      <c r="C51" s="15"/>
      <c r="D51" s="19">
        <v>437</v>
      </c>
      <c r="E51" s="111" t="s">
        <v>450</v>
      </c>
      <c r="F51" s="272">
        <f>cod022feb07*0.82*frac1</f>
        <v>0</v>
      </c>
      <c r="G51" s="11"/>
      <c r="H51" s="11"/>
    </row>
    <row r="52" spans="1:8" ht="12.75" hidden="1">
      <c r="A52">
        <v>1</v>
      </c>
      <c r="B52" s="2"/>
      <c r="C52" s="15"/>
      <c r="D52" s="19">
        <v>439</v>
      </c>
      <c r="E52" s="111" t="s">
        <v>451</v>
      </c>
      <c r="F52" s="272">
        <v>0</v>
      </c>
      <c r="G52" s="11"/>
      <c r="H52" s="11"/>
    </row>
    <row r="53" spans="1:8" ht="15.75" hidden="1">
      <c r="A53">
        <v>1</v>
      </c>
      <c r="B53" s="2"/>
      <c r="C53" s="15"/>
      <c r="D53" s="19">
        <v>417</v>
      </c>
      <c r="E53" s="111" t="s">
        <v>452</v>
      </c>
      <c r="F53" s="272">
        <v>0</v>
      </c>
      <c r="G53" s="273" t="s">
        <v>453</v>
      </c>
      <c r="H53" s="11"/>
    </row>
    <row r="54" spans="1:8" ht="13.5" hidden="1" thickBot="1">
      <c r="A54">
        <v>1</v>
      </c>
      <c r="B54" s="2"/>
      <c r="C54" s="15"/>
      <c r="D54" s="19"/>
      <c r="E54" s="111" t="s">
        <v>385</v>
      </c>
      <c r="F54" s="140">
        <v>0</v>
      </c>
      <c r="G54" s="11"/>
      <c r="H54" s="11"/>
    </row>
    <row r="55" spans="1:8" ht="16.5" hidden="1" thickBot="1">
      <c r="A55">
        <v>1</v>
      </c>
      <c r="B55" s="2"/>
      <c r="C55" s="15"/>
      <c r="D55" s="112"/>
      <c r="E55" s="113" t="s">
        <v>22</v>
      </c>
      <c r="F55" s="114">
        <f>SUM(F42:F54)</f>
        <v>1247.9247389392558</v>
      </c>
      <c r="G55" s="11"/>
      <c r="H55" s="11"/>
    </row>
    <row r="56" spans="1:8" ht="12.75" hidden="1">
      <c r="A56">
        <v>1</v>
      </c>
      <c r="B56" s="2"/>
      <c r="C56" s="15"/>
      <c r="D56" s="19">
        <v>703</v>
      </c>
      <c r="E56" s="115" t="s">
        <v>366</v>
      </c>
      <c r="F56" s="116">
        <f>(F55-F54)*0.0025</f>
        <v>3.1198118473481395</v>
      </c>
      <c r="G56" s="11"/>
      <c r="H56" s="11"/>
    </row>
    <row r="57" spans="1:8" ht="12.75" hidden="1">
      <c r="A57">
        <v>1</v>
      </c>
      <c r="B57" s="2"/>
      <c r="C57" s="11"/>
      <c r="D57" s="20">
        <v>707</v>
      </c>
      <c r="E57" s="117" t="s">
        <v>24</v>
      </c>
      <c r="F57" s="18">
        <f>(F55-F54)*0.03</f>
        <v>37.43774216817767</v>
      </c>
      <c r="G57" s="11"/>
      <c r="H57" s="11"/>
    </row>
    <row r="58" spans="1:8" ht="12.75" hidden="1">
      <c r="A58">
        <v>1</v>
      </c>
      <c r="B58" s="2"/>
      <c r="C58" s="274"/>
      <c r="D58" s="20">
        <v>709</v>
      </c>
      <c r="E58" s="117" t="s">
        <v>25</v>
      </c>
      <c r="F58" s="18">
        <f>(F55-F54)*0.0213</f>
        <v>26.58079693940615</v>
      </c>
      <c r="G58" s="11"/>
      <c r="H58" s="11"/>
    </row>
    <row r="59" spans="1:8" ht="12.75" hidden="1">
      <c r="A59">
        <v>1</v>
      </c>
      <c r="B59" s="2"/>
      <c r="C59" s="274"/>
      <c r="D59" s="17">
        <v>710</v>
      </c>
      <c r="E59" s="117" t="s">
        <v>26</v>
      </c>
      <c r="F59" s="18">
        <f>(F55-F54)*0.00754</f>
        <v>9.40935253160199</v>
      </c>
      <c r="G59" s="11"/>
      <c r="H59" s="11"/>
    </row>
    <row r="60" spans="1:8" ht="12.75" hidden="1">
      <c r="A60">
        <v>1</v>
      </c>
      <c r="B60" s="2"/>
      <c r="C60" s="274"/>
      <c r="D60" s="17">
        <v>713</v>
      </c>
      <c r="E60" s="117" t="s">
        <v>27</v>
      </c>
      <c r="F60" s="18">
        <f>(F55-F54)*0.007</f>
        <v>8.73547317257479</v>
      </c>
      <c r="G60" s="11"/>
      <c r="H60" s="11"/>
    </row>
    <row r="61" spans="1:8" ht="13.5" hidden="1" thickBot="1">
      <c r="A61">
        <v>1</v>
      </c>
      <c r="B61" s="2"/>
      <c r="C61" s="275"/>
      <c r="D61" s="17"/>
      <c r="E61" s="118" t="s">
        <v>28</v>
      </c>
      <c r="F61" s="56">
        <v>0</v>
      </c>
      <c r="G61" s="11"/>
      <c r="H61" s="11"/>
    </row>
    <row r="62" spans="1:8" ht="16.5" hidden="1" thickBot="1">
      <c r="A62">
        <v>1</v>
      </c>
      <c r="B62" s="2"/>
      <c r="C62" s="15"/>
      <c r="D62" s="119"/>
      <c r="E62" s="113" t="s">
        <v>29</v>
      </c>
      <c r="F62" s="114">
        <f>SUM(F56:F61)</f>
        <v>85.28317665910873</v>
      </c>
      <c r="G62" s="11"/>
      <c r="H62" s="11"/>
    </row>
    <row r="63" spans="1:8" ht="13.5" hidden="1" thickBot="1">
      <c r="A63">
        <v>1</v>
      </c>
      <c r="B63" s="2"/>
      <c r="C63" s="15"/>
      <c r="D63" s="120"/>
      <c r="E63" s="121"/>
      <c r="F63" s="122"/>
      <c r="G63" s="11"/>
      <c r="H63" s="11"/>
    </row>
    <row r="64" spans="1:8" ht="16.5" hidden="1" thickBot="1">
      <c r="A64">
        <v>1</v>
      </c>
      <c r="B64" s="11"/>
      <c r="C64" s="11"/>
      <c r="D64" s="123"/>
      <c r="E64" s="124" t="s">
        <v>30</v>
      </c>
      <c r="F64" s="125">
        <f>F55-F62</f>
        <v>1162.6415622801471</v>
      </c>
      <c r="G64" s="11"/>
      <c r="H64" s="11"/>
    </row>
    <row r="65" spans="1:8" ht="15.75" hidden="1">
      <c r="A65">
        <v>1</v>
      </c>
      <c r="B65" s="11"/>
      <c r="C65" s="4"/>
      <c r="D65" s="14"/>
      <c r="E65" s="276"/>
      <c r="F65" s="277"/>
      <c r="G65" s="11"/>
      <c r="H65" s="11"/>
    </row>
    <row r="66" spans="1:14" ht="15.75" hidden="1">
      <c r="A66">
        <v>1</v>
      </c>
      <c r="B66" s="126"/>
      <c r="C66" s="278"/>
      <c r="D66" s="279"/>
      <c r="E66" s="280"/>
      <c r="F66" s="126"/>
      <c r="G66" s="278"/>
      <c r="H66" s="281"/>
      <c r="I66" s="282"/>
      <c r="J66" s="11"/>
      <c r="K66" s="85"/>
      <c r="L66" s="12"/>
      <c r="M66" s="11"/>
      <c r="N66" s="11"/>
    </row>
    <row r="67" ht="21.75" customHeight="1" hidden="1"/>
    <row r="68" ht="12.75" hidden="1"/>
    <row r="69" ht="12.75" hidden="1"/>
    <row r="70" ht="12.75" hidden="1"/>
    <row r="71" spans="3:16" ht="15.75" hidden="1">
      <c r="C71" s="146" t="s">
        <v>397</v>
      </c>
      <c r="D71" s="146"/>
      <c r="E71" s="147" t="s">
        <v>394</v>
      </c>
      <c r="F71" s="199">
        <v>5</v>
      </c>
      <c r="G71" s="200" t="s">
        <v>428</v>
      </c>
      <c r="H71" s="200" t="s">
        <v>429</v>
      </c>
      <c r="I71" s="200" t="s">
        <v>430</v>
      </c>
      <c r="J71" s="200" t="s">
        <v>431</v>
      </c>
      <c r="K71" s="200" t="s">
        <v>432</v>
      </c>
      <c r="L71" s="200" t="s">
        <v>433</v>
      </c>
      <c r="M71" s="200">
        <v>1</v>
      </c>
      <c r="N71" s="200">
        <v>2</v>
      </c>
      <c r="O71" s="200">
        <v>3</v>
      </c>
      <c r="P71" s="200">
        <v>4</v>
      </c>
    </row>
    <row r="72" spans="1:16" ht="13.5" hidden="1" thickBot="1">
      <c r="A72">
        <v>2</v>
      </c>
      <c r="C72" s="146"/>
      <c r="D72" s="146"/>
      <c r="E72" s="147"/>
      <c r="F72" s="171"/>
      <c r="G72" s="11" t="s">
        <v>447</v>
      </c>
      <c r="H72" s="172" t="s">
        <v>435</v>
      </c>
      <c r="I72" s="172" t="s">
        <v>436</v>
      </c>
      <c r="J72" s="172" t="s">
        <v>437</v>
      </c>
      <c r="K72" s="172" t="s">
        <v>438</v>
      </c>
      <c r="L72" s="172" t="s">
        <v>439</v>
      </c>
      <c r="M72" s="172"/>
      <c r="N72" s="172"/>
      <c r="O72" s="172"/>
      <c r="P72" s="11"/>
    </row>
    <row r="73" spans="1:16" ht="13.5" hidden="1" thickBot="1">
      <c r="A73">
        <v>2</v>
      </c>
      <c r="C73" s="148" t="s">
        <v>21</v>
      </c>
      <c r="D73" s="149" t="s">
        <v>395</v>
      </c>
      <c r="E73" s="150" t="s">
        <v>396</v>
      </c>
      <c r="F73" s="173"/>
      <c r="G73" s="174"/>
      <c r="H73" s="11"/>
      <c r="I73" s="11"/>
      <c r="J73" s="11"/>
      <c r="K73" s="11"/>
      <c r="L73" s="11"/>
      <c r="M73" s="11"/>
      <c r="N73" s="11"/>
      <c r="O73" s="11"/>
      <c r="P73" s="11"/>
    </row>
    <row r="74" spans="1:16" ht="16.5" hidden="1" thickBot="1">
      <c r="A74">
        <v>2</v>
      </c>
      <c r="C74" s="151">
        <v>0</v>
      </c>
      <c r="D74" s="152">
        <v>0</v>
      </c>
      <c r="E74" s="153">
        <f aca="true" t="shared" si="6" ref="E74:E85">D74*1.5</f>
        <v>0</v>
      </c>
      <c r="F74" s="175">
        <f>IF(puntosproljorvarios2&lt;620,P74,L74)</f>
        <v>0</v>
      </c>
      <c r="G74" s="176">
        <v>0</v>
      </c>
      <c r="H74" s="201">
        <v>0</v>
      </c>
      <c r="I74" s="202">
        <v>0</v>
      </c>
      <c r="J74" s="203">
        <v>0</v>
      </c>
      <c r="K74" s="204">
        <v>0</v>
      </c>
      <c r="L74" s="19">
        <v>0</v>
      </c>
      <c r="M74" s="205">
        <f>IF(punbasjubvarios2&lt;1170,G74,H74)</f>
        <v>0</v>
      </c>
      <c r="N74" s="205">
        <f>IF(punbasjubvarios2&lt;1401,M74,I74)</f>
        <v>0</v>
      </c>
      <c r="O74" s="205">
        <f>IF(punbasjubvarios2&lt;1943,N74,J74)</f>
        <v>0</v>
      </c>
      <c r="P74" s="205">
        <f>IF(punbasjubvarios2&lt;=2220,O74,K74)</f>
        <v>0</v>
      </c>
    </row>
    <row r="75" spans="1:16" ht="16.5" hidden="1" thickBot="1">
      <c r="A75">
        <v>2</v>
      </c>
      <c r="C75" s="154">
        <v>0.1</v>
      </c>
      <c r="D75" s="155">
        <v>0</v>
      </c>
      <c r="E75" s="153">
        <f t="shared" si="6"/>
        <v>0</v>
      </c>
      <c r="F75" s="175">
        <f aca="true" t="shared" si="7" ref="F75:F85">IF(puntosproljorvarios2&lt;620,P75,L75)</f>
        <v>0</v>
      </c>
      <c r="G75" s="176">
        <v>0</v>
      </c>
      <c r="H75" s="201">
        <v>0</v>
      </c>
      <c r="I75" s="202">
        <v>0</v>
      </c>
      <c r="J75" s="203">
        <v>0</v>
      </c>
      <c r="K75" s="204">
        <v>0</v>
      </c>
      <c r="L75" s="19">
        <v>0</v>
      </c>
      <c r="M75" s="205">
        <f aca="true" t="shared" si="8" ref="M75:M85">IF(punbasjubvarios2&lt;1170,G75,H75)</f>
        <v>0</v>
      </c>
      <c r="N75" s="205">
        <f aca="true" t="shared" si="9" ref="N75:N85">IF(punbasjubvarios2&lt;1401,M75,I75)</f>
        <v>0</v>
      </c>
      <c r="O75" s="205">
        <f aca="true" t="shared" si="10" ref="O75:O85">IF(punbasjubvarios2&lt;1943,N75,J75)</f>
        <v>0</v>
      </c>
      <c r="P75" s="205">
        <f aca="true" t="shared" si="11" ref="P75:P85">IF(punbasjubvarios2&lt;=2220,O75,K75)</f>
        <v>0</v>
      </c>
    </row>
    <row r="76" spans="1:16" ht="16.5" hidden="1" thickBot="1">
      <c r="A76">
        <v>2</v>
      </c>
      <c r="C76" s="156">
        <v>0.15</v>
      </c>
      <c r="D76" s="157">
        <v>58</v>
      </c>
      <c r="E76" s="160">
        <f t="shared" si="6"/>
        <v>87</v>
      </c>
      <c r="F76" s="175">
        <f t="shared" si="7"/>
        <v>100</v>
      </c>
      <c r="G76" s="176">
        <v>100</v>
      </c>
      <c r="H76" s="206">
        <v>160</v>
      </c>
      <c r="I76" s="207">
        <v>113</v>
      </c>
      <c r="J76" s="208">
        <v>100</v>
      </c>
      <c r="K76" s="204">
        <v>0</v>
      </c>
      <c r="L76" s="19">
        <v>140</v>
      </c>
      <c r="M76" s="205">
        <f t="shared" si="8"/>
        <v>100</v>
      </c>
      <c r="N76" s="205">
        <f t="shared" si="9"/>
        <v>100</v>
      </c>
      <c r="O76" s="205">
        <f t="shared" si="10"/>
        <v>100</v>
      </c>
      <c r="P76" s="205">
        <f t="shared" si="11"/>
        <v>100</v>
      </c>
    </row>
    <row r="77" spans="1:16" ht="16.5" hidden="1" thickBot="1">
      <c r="A77">
        <v>2</v>
      </c>
      <c r="C77" s="156">
        <v>0.3</v>
      </c>
      <c r="D77" s="157">
        <v>58</v>
      </c>
      <c r="E77" s="160">
        <f t="shared" si="6"/>
        <v>87</v>
      </c>
      <c r="F77" s="175">
        <f t="shared" si="7"/>
        <v>115</v>
      </c>
      <c r="G77" s="176">
        <v>115</v>
      </c>
      <c r="H77" s="206">
        <v>160</v>
      </c>
      <c r="I77" s="207">
        <v>113</v>
      </c>
      <c r="J77" s="208">
        <v>100</v>
      </c>
      <c r="K77" s="204">
        <v>0</v>
      </c>
      <c r="L77" s="19">
        <v>270</v>
      </c>
      <c r="M77" s="205">
        <f t="shared" si="8"/>
        <v>115</v>
      </c>
      <c r="N77" s="205">
        <f t="shared" si="9"/>
        <v>115</v>
      </c>
      <c r="O77" s="205">
        <f t="shared" si="10"/>
        <v>115</v>
      </c>
      <c r="P77" s="205">
        <f t="shared" si="11"/>
        <v>115</v>
      </c>
    </row>
    <row r="78" spans="1:18" ht="16.5" hidden="1" thickBot="1">
      <c r="A78">
        <v>2</v>
      </c>
      <c r="C78" s="156">
        <v>0.4</v>
      </c>
      <c r="D78" s="157">
        <v>58</v>
      </c>
      <c r="E78" s="160">
        <f t="shared" si="6"/>
        <v>87</v>
      </c>
      <c r="F78" s="175">
        <f t="shared" si="7"/>
        <v>130</v>
      </c>
      <c r="G78" s="176">
        <v>130</v>
      </c>
      <c r="H78" s="206">
        <v>170</v>
      </c>
      <c r="I78" s="207">
        <v>120</v>
      </c>
      <c r="J78" s="208">
        <v>100</v>
      </c>
      <c r="K78" s="204">
        <v>60</v>
      </c>
      <c r="L78" s="19">
        <v>320</v>
      </c>
      <c r="M78" s="205">
        <f t="shared" si="8"/>
        <v>130</v>
      </c>
      <c r="N78" s="205">
        <f t="shared" si="9"/>
        <v>130</v>
      </c>
      <c r="O78" s="205">
        <f t="shared" si="10"/>
        <v>130</v>
      </c>
      <c r="P78" s="205">
        <f t="shared" si="11"/>
        <v>130</v>
      </c>
      <c r="R78" s="187">
        <f>LOOKUP(F107,C74:C85,F74:F85)</f>
        <v>430</v>
      </c>
    </row>
    <row r="79" spans="1:16" ht="16.5" hidden="1" thickBot="1">
      <c r="A79">
        <v>2</v>
      </c>
      <c r="C79" s="156">
        <v>0.5</v>
      </c>
      <c r="D79" s="157">
        <v>68</v>
      </c>
      <c r="E79" s="160">
        <f t="shared" si="6"/>
        <v>102</v>
      </c>
      <c r="F79" s="175">
        <f t="shared" si="7"/>
        <v>150</v>
      </c>
      <c r="G79" s="176">
        <v>150</v>
      </c>
      <c r="H79" s="206">
        <v>170</v>
      </c>
      <c r="I79" s="178">
        <v>120</v>
      </c>
      <c r="J79" s="208">
        <v>100</v>
      </c>
      <c r="K79" s="204">
        <v>60</v>
      </c>
      <c r="L79" s="19">
        <v>355</v>
      </c>
      <c r="M79" s="205">
        <f t="shared" si="8"/>
        <v>150</v>
      </c>
      <c r="N79" s="205">
        <f t="shared" si="9"/>
        <v>150</v>
      </c>
      <c r="O79" s="205">
        <f t="shared" si="10"/>
        <v>150</v>
      </c>
      <c r="P79" s="205">
        <f t="shared" si="11"/>
        <v>150</v>
      </c>
    </row>
    <row r="80" spans="1:16" ht="16.5" hidden="1" thickBot="1">
      <c r="A80">
        <v>2</v>
      </c>
      <c r="C80" s="156">
        <v>0.6</v>
      </c>
      <c r="D80" s="157">
        <v>74</v>
      </c>
      <c r="E80" s="160">
        <f t="shared" si="6"/>
        <v>111</v>
      </c>
      <c r="F80" s="175">
        <f t="shared" si="7"/>
        <v>180</v>
      </c>
      <c r="G80" s="176">
        <v>180</v>
      </c>
      <c r="H80" s="206">
        <v>180</v>
      </c>
      <c r="I80" s="178">
        <v>123</v>
      </c>
      <c r="J80" s="208">
        <v>110</v>
      </c>
      <c r="K80" s="204">
        <v>80</v>
      </c>
      <c r="L80" s="19">
        <v>370</v>
      </c>
      <c r="M80" s="205">
        <f t="shared" si="8"/>
        <v>180</v>
      </c>
      <c r="N80" s="205">
        <f t="shared" si="9"/>
        <v>180</v>
      </c>
      <c r="O80" s="205">
        <f t="shared" si="10"/>
        <v>180</v>
      </c>
      <c r="P80" s="205">
        <f t="shared" si="11"/>
        <v>180</v>
      </c>
    </row>
    <row r="81" spans="1:16" ht="16.5" hidden="1" thickBot="1">
      <c r="A81">
        <v>2</v>
      </c>
      <c r="C81" s="156">
        <v>0.7</v>
      </c>
      <c r="D81" s="157">
        <v>74</v>
      </c>
      <c r="E81" s="160">
        <f t="shared" si="6"/>
        <v>111</v>
      </c>
      <c r="F81" s="175">
        <f t="shared" si="7"/>
        <v>205</v>
      </c>
      <c r="G81" s="176">
        <v>205</v>
      </c>
      <c r="H81" s="206">
        <v>205</v>
      </c>
      <c r="I81" s="178">
        <v>150</v>
      </c>
      <c r="J81" s="208">
        <v>110</v>
      </c>
      <c r="K81" s="204">
        <v>80</v>
      </c>
      <c r="L81" s="19">
        <v>385</v>
      </c>
      <c r="M81" s="205">
        <f t="shared" si="8"/>
        <v>205</v>
      </c>
      <c r="N81" s="205">
        <f t="shared" si="9"/>
        <v>205</v>
      </c>
      <c r="O81" s="205">
        <f t="shared" si="10"/>
        <v>205</v>
      </c>
      <c r="P81" s="205">
        <f t="shared" si="11"/>
        <v>205</v>
      </c>
    </row>
    <row r="82" spans="1:16" ht="16.5" hidden="1" thickBot="1">
      <c r="A82">
        <v>2</v>
      </c>
      <c r="C82" s="156">
        <v>0.8</v>
      </c>
      <c r="D82" s="157">
        <v>80</v>
      </c>
      <c r="E82" s="160">
        <f t="shared" si="6"/>
        <v>120</v>
      </c>
      <c r="F82" s="175">
        <f t="shared" si="7"/>
        <v>265</v>
      </c>
      <c r="G82" s="176">
        <v>265</v>
      </c>
      <c r="H82" s="177">
        <v>315</v>
      </c>
      <c r="I82" s="178">
        <v>260</v>
      </c>
      <c r="J82" s="209">
        <v>200</v>
      </c>
      <c r="K82" s="19">
        <v>100</v>
      </c>
      <c r="L82" s="19">
        <v>395</v>
      </c>
      <c r="M82" s="205">
        <f t="shared" si="8"/>
        <v>265</v>
      </c>
      <c r="N82" s="205">
        <f t="shared" si="9"/>
        <v>265</v>
      </c>
      <c r="O82" s="205">
        <f t="shared" si="10"/>
        <v>265</v>
      </c>
      <c r="P82" s="205">
        <f t="shared" si="11"/>
        <v>265</v>
      </c>
    </row>
    <row r="83" spans="1:16" ht="16.5" hidden="1" thickBot="1">
      <c r="A83">
        <v>2</v>
      </c>
      <c r="C83" s="156">
        <v>1</v>
      </c>
      <c r="D83" s="157">
        <v>80</v>
      </c>
      <c r="E83" s="160">
        <f t="shared" si="6"/>
        <v>120</v>
      </c>
      <c r="F83" s="175">
        <f t="shared" si="7"/>
        <v>355</v>
      </c>
      <c r="G83" s="176">
        <v>355</v>
      </c>
      <c r="H83" s="177">
        <v>330</v>
      </c>
      <c r="I83" s="178">
        <v>250</v>
      </c>
      <c r="J83" s="209">
        <v>230</v>
      </c>
      <c r="K83" s="19">
        <v>100</v>
      </c>
      <c r="L83" s="19">
        <v>410</v>
      </c>
      <c r="M83" s="205">
        <f t="shared" si="8"/>
        <v>355</v>
      </c>
      <c r="N83" s="205">
        <f t="shared" si="9"/>
        <v>355</v>
      </c>
      <c r="O83" s="205">
        <f t="shared" si="10"/>
        <v>355</v>
      </c>
      <c r="P83" s="205">
        <f t="shared" si="11"/>
        <v>355</v>
      </c>
    </row>
    <row r="84" spans="1:16" ht="16.5" hidden="1" thickBot="1">
      <c r="A84">
        <v>2</v>
      </c>
      <c r="C84" s="156">
        <v>1.1</v>
      </c>
      <c r="D84" s="157">
        <v>84</v>
      </c>
      <c r="E84" s="160">
        <f t="shared" si="6"/>
        <v>126</v>
      </c>
      <c r="F84" s="175">
        <f t="shared" si="7"/>
        <v>415</v>
      </c>
      <c r="G84" s="176">
        <v>415</v>
      </c>
      <c r="H84" s="177">
        <v>350</v>
      </c>
      <c r="I84" s="178">
        <v>250</v>
      </c>
      <c r="J84" s="209">
        <v>240</v>
      </c>
      <c r="K84" s="19">
        <v>110</v>
      </c>
      <c r="L84" s="19">
        <v>425</v>
      </c>
      <c r="M84" s="205">
        <f t="shared" si="8"/>
        <v>415</v>
      </c>
      <c r="N84" s="205">
        <f t="shared" si="9"/>
        <v>415</v>
      </c>
      <c r="O84" s="205">
        <f t="shared" si="10"/>
        <v>415</v>
      </c>
      <c r="P84" s="205">
        <f t="shared" si="11"/>
        <v>415</v>
      </c>
    </row>
    <row r="85" spans="1:16" ht="16.5" hidden="1" thickBot="1">
      <c r="A85">
        <v>2</v>
      </c>
      <c r="C85" s="158">
        <v>1.2</v>
      </c>
      <c r="D85" s="159">
        <v>84</v>
      </c>
      <c r="E85" s="160">
        <f t="shared" si="6"/>
        <v>126</v>
      </c>
      <c r="F85" s="175">
        <f t="shared" si="7"/>
        <v>430</v>
      </c>
      <c r="G85" s="176">
        <v>430</v>
      </c>
      <c r="H85" s="177">
        <v>400</v>
      </c>
      <c r="I85" s="178">
        <v>255</v>
      </c>
      <c r="J85" s="209">
        <v>250</v>
      </c>
      <c r="K85" s="19">
        <v>110</v>
      </c>
      <c r="L85" s="19">
        <v>430</v>
      </c>
      <c r="M85" s="205">
        <f t="shared" si="8"/>
        <v>430</v>
      </c>
      <c r="N85" s="205">
        <f t="shared" si="9"/>
        <v>430</v>
      </c>
      <c r="O85" s="205">
        <f t="shared" si="10"/>
        <v>430</v>
      </c>
      <c r="P85" s="205">
        <f t="shared" si="11"/>
        <v>430</v>
      </c>
    </row>
    <row r="86" ht="12.75" hidden="1">
      <c r="A86">
        <v>2</v>
      </c>
    </row>
    <row r="87" spans="1:5" ht="12.75" hidden="1">
      <c r="A87">
        <v>2</v>
      </c>
      <c r="E87">
        <f>LOOKUP(F107,C74:C135,E74:E85)</f>
        <v>126</v>
      </c>
    </row>
    <row r="88" ht="12.75" hidden="1">
      <c r="A88">
        <v>2</v>
      </c>
    </row>
    <row r="89" ht="12.75" hidden="1">
      <c r="A89">
        <v>2</v>
      </c>
    </row>
    <row r="90" ht="12.75" hidden="1">
      <c r="A90">
        <v>2</v>
      </c>
    </row>
    <row r="91" ht="12.75" hidden="1">
      <c r="A91">
        <v>2</v>
      </c>
    </row>
    <row r="92" ht="12.75" hidden="1">
      <c r="A92">
        <v>2</v>
      </c>
    </row>
    <row r="93" spans="1:14" ht="20.25">
      <c r="A93">
        <v>2</v>
      </c>
      <c r="B93" s="2"/>
      <c r="C93" s="11"/>
      <c r="D93" s="11"/>
      <c r="E93" s="96" t="s">
        <v>454</v>
      </c>
      <c r="F93" s="11"/>
      <c r="G93" s="11"/>
      <c r="H93" s="11"/>
      <c r="I93" s="11"/>
      <c r="J93" s="11"/>
      <c r="K93" s="283"/>
      <c r="L93" s="260"/>
      <c r="M93" s="261"/>
      <c r="N93" s="261"/>
    </row>
    <row r="94" spans="1:14" ht="12.75">
      <c r="A94">
        <v>2</v>
      </c>
      <c r="B94" s="2"/>
      <c r="C94" s="2"/>
      <c r="D94" s="2"/>
      <c r="E94" s="2"/>
      <c r="F94" s="12"/>
      <c r="G94" s="12"/>
      <c r="H94" s="10"/>
      <c r="I94" s="12"/>
      <c r="J94" s="2"/>
      <c r="K94" s="283"/>
      <c r="L94" s="260"/>
      <c r="M94" s="261"/>
      <c r="N94" s="261"/>
    </row>
    <row r="95" spans="1:14" ht="12.75">
      <c r="A95">
        <v>2</v>
      </c>
      <c r="D95" s="49" t="s">
        <v>53</v>
      </c>
      <c r="E95" s="49" t="s">
        <v>357</v>
      </c>
      <c r="F95" s="49" t="s">
        <v>358</v>
      </c>
      <c r="G95" s="49" t="s">
        <v>359</v>
      </c>
      <c r="H95" s="49" t="s">
        <v>360</v>
      </c>
      <c r="I95" s="12"/>
      <c r="J95" s="2"/>
      <c r="K95" s="283"/>
      <c r="L95" s="260"/>
      <c r="M95" s="261"/>
      <c r="N95" s="261"/>
    </row>
    <row r="96" spans="1:14" ht="16.5" thickBot="1">
      <c r="A96">
        <v>2</v>
      </c>
      <c r="D96" s="139">
        <v>749</v>
      </c>
      <c r="E96" s="97">
        <f>LOOKUP(D96,[0]!numerocargo,[0]!puntosbasicoscargo)</f>
        <v>971</v>
      </c>
      <c r="F96" s="97">
        <f>LOOKUP(D96,[0]!numerocargo,[0]!tardifcargo)</f>
        <v>0</v>
      </c>
      <c r="G96" s="97">
        <f>LOOKUP(D96,[0]!numerocargo,[0]!proljorcargo)</f>
        <v>0</v>
      </c>
      <c r="H96" s="97">
        <f>LOOKUP(D96,[0]!numerocargo,[0]!jorcomcargo)</f>
        <v>0</v>
      </c>
      <c r="I96" s="12"/>
      <c r="J96" s="2"/>
      <c r="K96" s="283"/>
      <c r="L96" s="260"/>
      <c r="M96" s="261"/>
      <c r="N96" s="261"/>
    </row>
    <row r="97" spans="1:14" ht="13.5" thickBot="1">
      <c r="A97">
        <v>2</v>
      </c>
      <c r="D97" s="98" t="s">
        <v>54</v>
      </c>
      <c r="E97" s="99" t="str">
        <f>LOOKUP(D96,[0]!numerocargo,[0]!nombrecargo)</f>
        <v> MAESTRO DE GRADO</v>
      </c>
      <c r="F97" s="47"/>
      <c r="G97" s="47"/>
      <c r="H97" s="72"/>
      <c r="I97" s="12"/>
      <c r="J97" s="2"/>
      <c r="K97" s="283"/>
      <c r="L97" s="260"/>
      <c r="M97" s="261"/>
      <c r="N97" s="261"/>
    </row>
    <row r="98" spans="1:14" ht="13.5" thickBot="1">
      <c r="A98">
        <v>2</v>
      </c>
      <c r="D98" s="262"/>
      <c r="E98" s="10"/>
      <c r="F98" s="2"/>
      <c r="G98" s="2"/>
      <c r="H98" s="2"/>
      <c r="I98" s="166" t="s">
        <v>388</v>
      </c>
      <c r="J98" s="2"/>
      <c r="K98" s="284"/>
      <c r="L98" s="2"/>
      <c r="M98" s="11"/>
      <c r="N98" s="11"/>
    </row>
    <row r="99" spans="1:14" ht="19.5" thickBot="1" thickTop="1">
      <c r="A99">
        <v>2</v>
      </c>
      <c r="D99" s="263" t="s">
        <v>376</v>
      </c>
      <c r="E99" s="145"/>
      <c r="F99" s="145"/>
      <c r="G99" s="145"/>
      <c r="H99" s="264">
        <v>120</v>
      </c>
      <c r="I99" s="167">
        <f>H99/120</f>
        <v>1</v>
      </c>
      <c r="J99" s="2"/>
      <c r="K99" s="284"/>
      <c r="L99" s="2"/>
      <c r="M99" s="11"/>
      <c r="N99" s="11"/>
    </row>
    <row r="100" spans="1:14" ht="17.25" thickBot="1" thickTop="1">
      <c r="A100">
        <v>2</v>
      </c>
      <c r="B100" s="262"/>
      <c r="C100" s="10"/>
      <c r="D100" s="2"/>
      <c r="E100" s="2"/>
      <c r="F100" s="265"/>
      <c r="G100" s="12"/>
      <c r="H100" s="10"/>
      <c r="I100" s="12"/>
      <c r="J100" s="2"/>
      <c r="K100" s="284"/>
      <c r="L100" s="2"/>
      <c r="M100" s="11"/>
      <c r="N100" s="11"/>
    </row>
    <row r="101" spans="1:14" ht="17.25" thickBot="1" thickTop="1">
      <c r="A101">
        <v>2</v>
      </c>
      <c r="B101" s="262"/>
      <c r="D101" s="143" t="s">
        <v>390</v>
      </c>
      <c r="E101" s="170">
        <v>0</v>
      </c>
      <c r="F101" s="265"/>
      <c r="G101" s="12"/>
      <c r="H101" s="10"/>
      <c r="I101" s="12"/>
      <c r="J101" s="2"/>
      <c r="K101" s="284"/>
      <c r="L101" s="2"/>
      <c r="M101" s="11"/>
      <c r="N101" s="11"/>
    </row>
    <row r="102" spans="1:14" ht="14.25" thickBot="1" thickTop="1">
      <c r="A102">
        <v>2</v>
      </c>
      <c r="B102" s="262"/>
      <c r="C102" s="10"/>
      <c r="D102" s="2"/>
      <c r="E102" s="2"/>
      <c r="F102" s="2"/>
      <c r="G102" s="12"/>
      <c r="H102" s="10"/>
      <c r="I102" s="12"/>
      <c r="J102" s="2"/>
      <c r="K102" s="284"/>
      <c r="L102" s="2"/>
      <c r="M102" s="11"/>
      <c r="N102" s="11"/>
    </row>
    <row r="103" spans="1:14" ht="16.5" thickBot="1">
      <c r="A103">
        <v>2</v>
      </c>
      <c r="B103" s="262"/>
      <c r="C103" s="10"/>
      <c r="D103" s="100" t="s">
        <v>361</v>
      </c>
      <c r="E103" s="46"/>
      <c r="F103" s="101">
        <f>(valorcod038+(E96*0.2107+valorcod038)*2.2*0.07)*0.216</f>
        <v>28.252146340800003</v>
      </c>
      <c r="G103" s="168"/>
      <c r="H103" s="266"/>
      <c r="I103" s="2"/>
      <c r="J103" s="2"/>
      <c r="K103" s="284"/>
      <c r="L103" s="2"/>
      <c r="M103" s="11"/>
      <c r="N103" s="11"/>
    </row>
    <row r="104" spans="1:14" ht="12.75">
      <c r="A104">
        <v>2</v>
      </c>
      <c r="B104" s="262"/>
      <c r="C104" s="10"/>
      <c r="D104" s="2"/>
      <c r="E104" s="2"/>
      <c r="F104" s="2"/>
      <c r="G104" s="2"/>
      <c r="H104" s="10"/>
      <c r="I104" s="2"/>
      <c r="J104" s="2"/>
      <c r="K104" s="284"/>
      <c r="L104" s="2"/>
      <c r="M104" s="11"/>
      <c r="N104" s="11"/>
    </row>
    <row r="105" spans="1:14" ht="13.5" thickBot="1">
      <c r="A105">
        <v>2</v>
      </c>
      <c r="B105" s="2"/>
      <c r="C105" s="11"/>
      <c r="D105" s="11"/>
      <c r="E105" s="11"/>
      <c r="F105" s="11"/>
      <c r="G105" s="11"/>
      <c r="H105" s="11"/>
      <c r="I105" s="11"/>
      <c r="J105" s="11"/>
      <c r="K105" s="290"/>
      <c r="L105" s="11"/>
      <c r="M105" s="11"/>
      <c r="N105" s="11"/>
    </row>
    <row r="106" spans="1:14" ht="16.5" thickBot="1">
      <c r="A106">
        <v>2</v>
      </c>
      <c r="B106" s="2"/>
      <c r="C106" s="11"/>
      <c r="D106" s="102" t="s">
        <v>15</v>
      </c>
      <c r="E106" s="47"/>
      <c r="F106" s="103">
        <f>E96*indicefeb07</f>
        <v>441.1253</v>
      </c>
      <c r="G106" s="11"/>
      <c r="H106" s="11"/>
      <c r="I106" s="11"/>
      <c r="J106" s="104"/>
      <c r="K106" s="288"/>
      <c r="L106" s="11"/>
      <c r="M106" s="11"/>
      <c r="N106" s="11"/>
    </row>
    <row r="107" spans="1:14" ht="16.5" thickBot="1">
      <c r="A107">
        <v>2</v>
      </c>
      <c r="B107" s="2"/>
      <c r="C107" s="11"/>
      <c r="D107" s="285" t="s">
        <v>16</v>
      </c>
      <c r="E107" s="286"/>
      <c r="F107" s="287">
        <v>1.2</v>
      </c>
      <c r="G107" s="84" t="s">
        <v>17</v>
      </c>
      <c r="H107" s="84"/>
      <c r="I107" s="84"/>
      <c r="J107" s="84"/>
      <c r="K107" s="288"/>
      <c r="L107" s="11"/>
      <c r="M107" s="11"/>
      <c r="N107" s="11"/>
    </row>
    <row r="108" spans="1:14" ht="15.75">
      <c r="A108">
        <v>2</v>
      </c>
      <c r="B108" s="2"/>
      <c r="C108" s="11"/>
      <c r="D108" s="284"/>
      <c r="E108" s="284"/>
      <c r="F108" s="289"/>
      <c r="G108" s="290"/>
      <c r="H108" s="290"/>
      <c r="I108" s="290"/>
      <c r="J108" s="290"/>
      <c r="K108" s="291"/>
      <c r="L108" s="11"/>
      <c r="M108" s="11"/>
      <c r="N108" s="11"/>
    </row>
    <row r="109" spans="1:14" ht="18.75" hidden="1" thickBot="1">
      <c r="A109">
        <v>2</v>
      </c>
      <c r="B109" s="2"/>
      <c r="C109" s="11"/>
      <c r="D109" s="106" t="s">
        <v>18</v>
      </c>
      <c r="E109" s="106"/>
      <c r="F109" s="107">
        <f>E96</f>
        <v>971</v>
      </c>
      <c r="G109" s="11" t="s">
        <v>19</v>
      </c>
      <c r="H109" s="11"/>
      <c r="I109" s="104">
        <f>H96</f>
        <v>0</v>
      </c>
      <c r="J109" s="2"/>
      <c r="K109" s="11"/>
      <c r="L109" s="11"/>
      <c r="M109" s="11"/>
      <c r="N109" s="11"/>
    </row>
    <row r="110" spans="1:14" ht="15.75" hidden="1">
      <c r="A110">
        <v>2</v>
      </c>
      <c r="B110" s="2"/>
      <c r="C110" s="11"/>
      <c r="D110" s="2"/>
      <c r="E110" s="2"/>
      <c r="F110" s="270"/>
      <c r="G110" s="11"/>
      <c r="H110" s="11"/>
      <c r="I110" s="2"/>
      <c r="J110" s="108"/>
      <c r="K110" s="11"/>
      <c r="L110" s="11"/>
      <c r="M110" s="11"/>
      <c r="N110" s="11"/>
    </row>
    <row r="111" spans="1:14" ht="12.75" hidden="1">
      <c r="A111">
        <v>2</v>
      </c>
      <c r="B111" s="2"/>
      <c r="C111" s="11"/>
      <c r="D111" s="11"/>
      <c r="E111" s="11"/>
      <c r="F111" s="11"/>
      <c r="G111" s="11"/>
      <c r="H111" s="271">
        <f>1+F107</f>
        <v>2.2</v>
      </c>
      <c r="I111" s="11"/>
      <c r="J111" s="11"/>
      <c r="K111" s="11"/>
      <c r="L111" s="11"/>
      <c r="M111" s="11"/>
      <c r="N111" s="11"/>
    </row>
    <row r="112" spans="1:8" ht="12.75" hidden="1">
      <c r="A112">
        <v>2</v>
      </c>
      <c r="B112" s="2"/>
      <c r="C112" s="11"/>
      <c r="D112" s="19">
        <v>400</v>
      </c>
      <c r="E112" s="19" t="s">
        <v>20</v>
      </c>
      <c r="F112" s="109">
        <f>punbasjubvarios2*indicefeb07*0.82*frac2</f>
        <v>361.722746</v>
      </c>
      <c r="G112" s="11"/>
      <c r="H112" s="11"/>
    </row>
    <row r="113" spans="1:8" ht="12.75" hidden="1">
      <c r="A113">
        <v>2</v>
      </c>
      <c r="B113" s="2"/>
      <c r="C113" s="11"/>
      <c r="D113" s="19">
        <v>404</v>
      </c>
      <c r="E113" s="19" t="s">
        <v>364</v>
      </c>
      <c r="F113" s="109">
        <f>F96*indicefeb07*0.82*frac2</f>
        <v>0</v>
      </c>
      <c r="G113" s="11"/>
      <c r="H113" s="11"/>
    </row>
    <row r="114" spans="1:8" ht="12.75" hidden="1">
      <c r="A114">
        <v>2</v>
      </c>
      <c r="B114" s="2"/>
      <c r="C114" s="11"/>
      <c r="D114" s="19">
        <v>406</v>
      </c>
      <c r="E114" s="19" t="s">
        <v>21</v>
      </c>
      <c r="F114" s="109">
        <f>(F112+F118+F113+F116+F121)*F107</f>
        <v>434.06729519999993</v>
      </c>
      <c r="G114" s="11"/>
      <c r="H114" s="11"/>
    </row>
    <row r="115" spans="1:8" ht="12.75" hidden="1">
      <c r="A115">
        <v>2</v>
      </c>
      <c r="B115" s="2"/>
      <c r="C115" s="11"/>
      <c r="D115" s="19">
        <v>408</v>
      </c>
      <c r="E115" s="19" t="s">
        <v>389</v>
      </c>
      <c r="F115" s="109">
        <f>(F112+F116+F118+F121)*E101</f>
        <v>0</v>
      </c>
      <c r="G115" s="11"/>
      <c r="H115" s="11"/>
    </row>
    <row r="116" spans="1:8" ht="12.75" hidden="1">
      <c r="A116">
        <v>2</v>
      </c>
      <c r="B116" s="2"/>
      <c r="C116" s="11"/>
      <c r="D116" s="19">
        <v>416</v>
      </c>
      <c r="E116" s="110" t="s">
        <v>365</v>
      </c>
      <c r="F116" s="109">
        <f>(G96+H96)*proljorfeb07*0.82*frac2</f>
        <v>0</v>
      </c>
      <c r="G116" s="11"/>
      <c r="H116" s="11"/>
    </row>
    <row r="117" spans="1:8" ht="12.75" hidden="1">
      <c r="A117">
        <v>2</v>
      </c>
      <c r="B117" s="2"/>
      <c r="C117" s="15"/>
      <c r="D117" s="19">
        <v>432</v>
      </c>
      <c r="E117" s="19" t="s">
        <v>387</v>
      </c>
      <c r="F117" s="16">
        <f>cod06feb07varios2*0.82*frac2</f>
        <v>352.59999999999997</v>
      </c>
      <c r="G117" s="11"/>
      <c r="H117" s="11"/>
    </row>
    <row r="118" spans="1:8" ht="12.75" hidden="1">
      <c r="A118">
        <v>2</v>
      </c>
      <c r="B118" s="2"/>
      <c r="C118" s="15"/>
      <c r="D118" s="19">
        <v>542</v>
      </c>
      <c r="E118" s="19" t="s">
        <v>449</v>
      </c>
      <c r="F118" s="109">
        <f>cod38feb07*0.82*frac2</f>
        <v>0</v>
      </c>
      <c r="G118" s="11"/>
      <c r="H118" s="11"/>
    </row>
    <row r="119" spans="1:8" ht="12.75" hidden="1">
      <c r="A119">
        <v>2</v>
      </c>
      <c r="B119" s="2"/>
      <c r="C119" s="15"/>
      <c r="D119" s="19">
        <v>434</v>
      </c>
      <c r="E119" s="19" t="s">
        <v>362</v>
      </c>
      <c r="F119" s="109">
        <f>(F112+F113+F114+F116+F117+F118+F115+F121+F122)*0.07*0.95</f>
        <v>76.36793773979998</v>
      </c>
      <c r="G119" s="11"/>
      <c r="H119" s="11"/>
    </row>
    <row r="120" spans="1:8" ht="12.75" hidden="1">
      <c r="A120">
        <v>2</v>
      </c>
      <c r="B120" s="2"/>
      <c r="C120" s="15"/>
      <c r="D120" s="19">
        <v>438</v>
      </c>
      <c r="E120" s="19" t="s">
        <v>363</v>
      </c>
      <c r="F120" s="109">
        <f>F103*0.82*frac2</f>
        <v>23.166759999456</v>
      </c>
      <c r="G120" s="11"/>
      <c r="H120" s="11"/>
    </row>
    <row r="121" spans="1:8" ht="12.75" hidden="1">
      <c r="A121">
        <v>2</v>
      </c>
      <c r="B121" s="2"/>
      <c r="C121" s="15"/>
      <c r="D121" s="19">
        <v>437</v>
      </c>
      <c r="E121" s="111" t="s">
        <v>450</v>
      </c>
      <c r="F121" s="272">
        <f>cod022feb07*0.82*frac2</f>
        <v>0</v>
      </c>
      <c r="G121" s="11"/>
      <c r="H121" s="11"/>
    </row>
    <row r="122" spans="1:8" ht="12.75" hidden="1">
      <c r="A122">
        <v>2</v>
      </c>
      <c r="B122" s="2"/>
      <c r="C122" s="15"/>
      <c r="D122" s="19">
        <v>439</v>
      </c>
      <c r="E122" s="111" t="s">
        <v>451</v>
      </c>
      <c r="F122" s="272">
        <v>0</v>
      </c>
      <c r="G122" s="11"/>
      <c r="H122" s="11"/>
    </row>
    <row r="123" spans="1:8" ht="15.75" hidden="1">
      <c r="A123">
        <v>2</v>
      </c>
      <c r="B123" s="2"/>
      <c r="C123" s="15"/>
      <c r="D123" s="19">
        <v>417</v>
      </c>
      <c r="E123" s="111" t="s">
        <v>452</v>
      </c>
      <c r="F123" s="272">
        <v>0</v>
      </c>
      <c r="G123" s="273" t="s">
        <v>453</v>
      </c>
      <c r="H123" s="11"/>
    </row>
    <row r="124" spans="1:8" ht="13.5" hidden="1" thickBot="1">
      <c r="A124">
        <v>2</v>
      </c>
      <c r="B124" s="2"/>
      <c r="C124" s="15"/>
      <c r="D124" s="19"/>
      <c r="E124" s="111" t="s">
        <v>385</v>
      </c>
      <c r="F124" s="140">
        <v>0</v>
      </c>
      <c r="G124" s="11"/>
      <c r="H124" s="11"/>
    </row>
    <row r="125" spans="1:8" ht="16.5" hidden="1" thickBot="1">
      <c r="A125">
        <v>2</v>
      </c>
      <c r="B125" s="2"/>
      <c r="C125" s="15"/>
      <c r="D125" s="112"/>
      <c r="E125" s="113" t="s">
        <v>22</v>
      </c>
      <c r="F125" s="114">
        <f>SUM(F112:F124)</f>
        <v>1247.9247389392558</v>
      </c>
      <c r="G125" s="11"/>
      <c r="H125" s="11"/>
    </row>
    <row r="126" spans="1:8" ht="12.75" hidden="1">
      <c r="A126">
        <v>2</v>
      </c>
      <c r="B126" s="2"/>
      <c r="C126" s="15"/>
      <c r="D126" s="19">
        <v>703</v>
      </c>
      <c r="E126" s="115" t="s">
        <v>366</v>
      </c>
      <c r="F126" s="116">
        <f>(F125-F124)*0.0025</f>
        <v>3.1198118473481395</v>
      </c>
      <c r="G126" s="11"/>
      <c r="H126" s="11"/>
    </row>
    <row r="127" spans="1:8" ht="12.75" hidden="1">
      <c r="A127">
        <v>2</v>
      </c>
      <c r="B127" s="2"/>
      <c r="C127" s="11"/>
      <c r="D127" s="20">
        <v>707</v>
      </c>
      <c r="E127" s="117" t="s">
        <v>24</v>
      </c>
      <c r="F127" s="18">
        <f>(F125-F124)*0.03</f>
        <v>37.43774216817767</v>
      </c>
      <c r="G127" s="11"/>
      <c r="H127" s="11"/>
    </row>
    <row r="128" spans="1:8" ht="12.75" hidden="1">
      <c r="A128">
        <v>2</v>
      </c>
      <c r="B128" s="2"/>
      <c r="C128" s="274"/>
      <c r="D128" s="20">
        <v>709</v>
      </c>
      <c r="E128" s="117" t="s">
        <v>25</v>
      </c>
      <c r="F128" s="18">
        <f>(F125-F124)*0.0213</f>
        <v>26.58079693940615</v>
      </c>
      <c r="G128" s="11"/>
      <c r="H128" s="11"/>
    </row>
    <row r="129" spans="1:8" ht="12.75" hidden="1">
      <c r="A129">
        <v>2</v>
      </c>
      <c r="B129" s="2"/>
      <c r="C129" s="274"/>
      <c r="D129" s="17">
        <v>710</v>
      </c>
      <c r="E129" s="117" t="s">
        <v>26</v>
      </c>
      <c r="F129" s="18">
        <f>(F125-F124)*0.00754</f>
        <v>9.40935253160199</v>
      </c>
      <c r="G129" s="11"/>
      <c r="H129" s="11"/>
    </row>
    <row r="130" spans="1:8" ht="12.75" hidden="1">
      <c r="A130">
        <v>2</v>
      </c>
      <c r="B130" s="2"/>
      <c r="C130" s="274"/>
      <c r="D130" s="17">
        <v>713</v>
      </c>
      <c r="E130" s="117" t="s">
        <v>27</v>
      </c>
      <c r="F130" s="18">
        <f>(F125-F124)*0.007</f>
        <v>8.73547317257479</v>
      </c>
      <c r="G130" s="11"/>
      <c r="H130" s="11"/>
    </row>
    <row r="131" spans="1:8" ht="13.5" hidden="1" thickBot="1">
      <c r="A131">
        <v>2</v>
      </c>
      <c r="B131" s="2"/>
      <c r="C131" s="275"/>
      <c r="D131" s="17"/>
      <c r="E131" s="118" t="s">
        <v>28</v>
      </c>
      <c r="F131" s="56">
        <v>0</v>
      </c>
      <c r="G131" s="11"/>
      <c r="H131" s="11"/>
    </row>
    <row r="132" spans="1:8" ht="16.5" hidden="1" thickBot="1">
      <c r="A132">
        <v>2</v>
      </c>
      <c r="B132" s="2"/>
      <c r="C132" s="15"/>
      <c r="D132" s="119"/>
      <c r="E132" s="113" t="s">
        <v>29</v>
      </c>
      <c r="F132" s="114">
        <f>SUM(F126:F131)</f>
        <v>85.28317665910873</v>
      </c>
      <c r="G132" s="11"/>
      <c r="H132" s="11"/>
    </row>
    <row r="133" spans="1:8" ht="13.5" hidden="1" thickBot="1">
      <c r="A133">
        <v>2</v>
      </c>
      <c r="B133" s="2"/>
      <c r="C133" s="15"/>
      <c r="D133" s="120"/>
      <c r="E133" s="121"/>
      <c r="F133" s="122"/>
      <c r="G133" s="11"/>
      <c r="H133" s="11"/>
    </row>
    <row r="134" spans="1:8" ht="16.5" hidden="1" thickBot="1">
      <c r="A134">
        <v>2</v>
      </c>
      <c r="B134" s="11"/>
      <c r="C134" s="11"/>
      <c r="D134" s="123"/>
      <c r="E134" s="124" t="s">
        <v>30</v>
      </c>
      <c r="F134" s="125">
        <f>F125-F132</f>
        <v>1162.6415622801471</v>
      </c>
      <c r="G134" s="11"/>
      <c r="H134" s="11"/>
    </row>
    <row r="135" spans="1:14" ht="15.75" hidden="1">
      <c r="A135">
        <v>2</v>
      </c>
      <c r="B135" s="126"/>
      <c r="C135" s="278"/>
      <c r="D135" s="279"/>
      <c r="E135" s="280"/>
      <c r="F135" s="126"/>
      <c r="G135" s="278"/>
      <c r="H135" s="281"/>
      <c r="I135" s="282"/>
      <c r="J135" s="11"/>
      <c r="K135" s="85"/>
      <c r="L135" s="12"/>
      <c r="M135" s="11"/>
      <c r="N135" s="11"/>
    </row>
    <row r="136" ht="12.75" hidden="1"/>
    <row r="137" ht="12.75" hidden="1"/>
    <row r="138" ht="12.75" hidden="1"/>
    <row r="139" spans="3:16" ht="15.75" hidden="1">
      <c r="C139" s="146" t="s">
        <v>397</v>
      </c>
      <c r="D139" s="146"/>
      <c r="E139" s="147" t="s">
        <v>394</v>
      </c>
      <c r="F139" s="199">
        <v>5</v>
      </c>
      <c r="G139" s="200" t="s">
        <v>428</v>
      </c>
      <c r="H139" s="200" t="s">
        <v>429</v>
      </c>
      <c r="I139" s="200" t="s">
        <v>430</v>
      </c>
      <c r="J139" s="200" t="s">
        <v>431</v>
      </c>
      <c r="K139" s="200" t="s">
        <v>432</v>
      </c>
      <c r="L139" s="200" t="s">
        <v>433</v>
      </c>
      <c r="M139" s="200">
        <v>1</v>
      </c>
      <c r="N139" s="200">
        <v>2</v>
      </c>
      <c r="O139" s="200">
        <v>3</v>
      </c>
      <c r="P139" s="200">
        <v>4</v>
      </c>
    </row>
    <row r="140" spans="3:16" ht="13.5" hidden="1" thickBot="1">
      <c r="C140" s="146"/>
      <c r="D140" s="146"/>
      <c r="E140" s="147"/>
      <c r="F140" s="171"/>
      <c r="G140" s="11" t="s">
        <v>447</v>
      </c>
      <c r="H140" s="172" t="s">
        <v>435</v>
      </c>
      <c r="I140" s="172" t="s">
        <v>436</v>
      </c>
      <c r="J140" s="172" t="s">
        <v>437</v>
      </c>
      <c r="K140" s="172" t="s">
        <v>438</v>
      </c>
      <c r="L140" s="172" t="s">
        <v>439</v>
      </c>
      <c r="M140" s="172"/>
      <c r="N140" s="172"/>
      <c r="O140" s="172"/>
      <c r="P140" s="11"/>
    </row>
    <row r="141" spans="1:16" ht="13.5" hidden="1" thickBot="1">
      <c r="A141">
        <v>3</v>
      </c>
      <c r="C141" s="148" t="s">
        <v>21</v>
      </c>
      <c r="D141" s="149" t="s">
        <v>395</v>
      </c>
      <c r="E141" s="150" t="s">
        <v>396</v>
      </c>
      <c r="F141" s="173"/>
      <c r="G141" s="174"/>
      <c r="H141" s="11"/>
      <c r="I141" s="11"/>
      <c r="J141" s="11"/>
      <c r="K141" s="11"/>
      <c r="L141" s="11"/>
      <c r="M141" s="11"/>
      <c r="N141" s="11"/>
      <c r="O141" s="11"/>
      <c r="P141" s="11"/>
    </row>
    <row r="142" spans="1:16" ht="16.5" hidden="1" thickBot="1">
      <c r="A142">
        <v>3</v>
      </c>
      <c r="C142" s="151">
        <v>0</v>
      </c>
      <c r="D142" s="152">
        <v>0</v>
      </c>
      <c r="E142" s="153">
        <f aca="true" t="shared" si="12" ref="E142:E153">D142*1.5</f>
        <v>0</v>
      </c>
      <c r="F142" s="175">
        <f>IF(puntosproljorvarios3&lt;620,P142,L142)</f>
        <v>0</v>
      </c>
      <c r="G142" s="176">
        <v>0</v>
      </c>
      <c r="H142" s="201">
        <v>0</v>
      </c>
      <c r="I142" s="202">
        <v>0</v>
      </c>
      <c r="J142" s="203">
        <v>0</v>
      </c>
      <c r="K142" s="204">
        <v>0</v>
      </c>
      <c r="L142" s="19">
        <v>0</v>
      </c>
      <c r="M142" s="205">
        <f>IF(punbasjubvarios3&lt;1170,G142,H142)</f>
        <v>0</v>
      </c>
      <c r="N142" s="205">
        <f>IF(punbasjubvarios3&lt;1401,M142,I142)</f>
        <v>0</v>
      </c>
      <c r="O142" s="205">
        <f>IF(punbasjubvarios3&lt;1943,N142,J142)</f>
        <v>0</v>
      </c>
      <c r="P142" s="205">
        <f>IF(punbasjubvarios3&lt;=2220,O142,K142)</f>
        <v>0</v>
      </c>
    </row>
    <row r="143" spans="1:16" ht="16.5" hidden="1" thickBot="1">
      <c r="A143">
        <v>3</v>
      </c>
      <c r="C143" s="154">
        <v>0.1</v>
      </c>
      <c r="D143" s="155">
        <v>0</v>
      </c>
      <c r="E143" s="153">
        <f t="shared" si="12"/>
        <v>0</v>
      </c>
      <c r="F143" s="175">
        <f aca="true" t="shared" si="13" ref="F143:F153">IF(puntosproljorvarios3&lt;620,P143,L143)</f>
        <v>0</v>
      </c>
      <c r="G143" s="176">
        <v>0</v>
      </c>
      <c r="H143" s="201">
        <v>0</v>
      </c>
      <c r="I143" s="202">
        <v>0</v>
      </c>
      <c r="J143" s="203">
        <v>0</v>
      </c>
      <c r="K143" s="204">
        <v>0</v>
      </c>
      <c r="L143" s="19">
        <v>0</v>
      </c>
      <c r="M143" s="205">
        <f aca="true" t="shared" si="14" ref="M143:M153">IF(punbasjubvarios3&lt;1170,G143,H143)</f>
        <v>0</v>
      </c>
      <c r="N143" s="205">
        <f aca="true" t="shared" si="15" ref="N143:N153">IF(punbasjubvarios3&lt;1401,M143,I143)</f>
        <v>0</v>
      </c>
      <c r="O143" s="205">
        <f aca="true" t="shared" si="16" ref="O143:O153">IF(punbasjubvarios3&lt;1943,N143,J143)</f>
        <v>0</v>
      </c>
      <c r="P143" s="205">
        <f aca="true" t="shared" si="17" ref="P143:P153">IF(punbasjubvarios3&lt;=2220,O143,K143)</f>
        <v>0</v>
      </c>
    </row>
    <row r="144" spans="1:16" ht="16.5" hidden="1" thickBot="1">
      <c r="A144">
        <v>3</v>
      </c>
      <c r="C144" s="156">
        <v>0.15</v>
      </c>
      <c r="D144" s="157">
        <v>58</v>
      </c>
      <c r="E144" s="160">
        <f t="shared" si="12"/>
        <v>87</v>
      </c>
      <c r="F144" s="175">
        <f t="shared" si="13"/>
        <v>100</v>
      </c>
      <c r="G144" s="176">
        <v>100</v>
      </c>
      <c r="H144" s="206">
        <v>160</v>
      </c>
      <c r="I144" s="207">
        <v>113</v>
      </c>
      <c r="J144" s="208">
        <v>100</v>
      </c>
      <c r="K144" s="204">
        <v>0</v>
      </c>
      <c r="L144" s="19">
        <v>140</v>
      </c>
      <c r="M144" s="205">
        <f t="shared" si="14"/>
        <v>100</v>
      </c>
      <c r="N144" s="205">
        <f t="shared" si="15"/>
        <v>100</v>
      </c>
      <c r="O144" s="205">
        <f t="shared" si="16"/>
        <v>100</v>
      </c>
      <c r="P144" s="205">
        <f t="shared" si="17"/>
        <v>100</v>
      </c>
    </row>
    <row r="145" spans="1:16" ht="16.5" hidden="1" thickBot="1">
      <c r="A145">
        <v>3</v>
      </c>
      <c r="C145" s="156">
        <v>0.3</v>
      </c>
      <c r="D145" s="157">
        <v>58</v>
      </c>
      <c r="E145" s="160">
        <f t="shared" si="12"/>
        <v>87</v>
      </c>
      <c r="F145" s="175">
        <f t="shared" si="13"/>
        <v>115</v>
      </c>
      <c r="G145" s="176">
        <v>115</v>
      </c>
      <c r="H145" s="206">
        <v>160</v>
      </c>
      <c r="I145" s="207">
        <v>113</v>
      </c>
      <c r="J145" s="208">
        <v>100</v>
      </c>
      <c r="K145" s="204">
        <v>0</v>
      </c>
      <c r="L145" s="19">
        <v>270</v>
      </c>
      <c r="M145" s="205">
        <f t="shared" si="14"/>
        <v>115</v>
      </c>
      <c r="N145" s="205">
        <f t="shared" si="15"/>
        <v>115</v>
      </c>
      <c r="O145" s="205">
        <f t="shared" si="16"/>
        <v>115</v>
      </c>
      <c r="P145" s="205">
        <f t="shared" si="17"/>
        <v>115</v>
      </c>
    </row>
    <row r="146" spans="1:18" ht="16.5" hidden="1" thickBot="1">
      <c r="A146">
        <v>3</v>
      </c>
      <c r="C146" s="156">
        <v>0.4</v>
      </c>
      <c r="D146" s="157">
        <v>58</v>
      </c>
      <c r="E146" s="160">
        <f t="shared" si="12"/>
        <v>87</v>
      </c>
      <c r="F146" s="175">
        <f t="shared" si="13"/>
        <v>130</v>
      </c>
      <c r="G146" s="176">
        <v>130</v>
      </c>
      <c r="H146" s="206">
        <v>170</v>
      </c>
      <c r="I146" s="207">
        <v>120</v>
      </c>
      <c r="J146" s="208">
        <v>100</v>
      </c>
      <c r="K146" s="204">
        <v>60</v>
      </c>
      <c r="L146" s="19">
        <v>320</v>
      </c>
      <c r="M146" s="205">
        <f t="shared" si="14"/>
        <v>130</v>
      </c>
      <c r="N146" s="205">
        <f t="shared" si="15"/>
        <v>130</v>
      </c>
      <c r="O146" s="205">
        <f t="shared" si="16"/>
        <v>130</v>
      </c>
      <c r="P146" s="205">
        <f t="shared" si="17"/>
        <v>130</v>
      </c>
      <c r="R146" s="187">
        <f>LOOKUP(F175,C142:C153,F142:F153)</f>
        <v>430</v>
      </c>
    </row>
    <row r="147" spans="1:16" ht="16.5" hidden="1" thickBot="1">
      <c r="A147">
        <v>3</v>
      </c>
      <c r="C147" s="156">
        <v>0.5</v>
      </c>
      <c r="D147" s="157">
        <v>68</v>
      </c>
      <c r="E147" s="160">
        <f t="shared" si="12"/>
        <v>102</v>
      </c>
      <c r="F147" s="175">
        <f t="shared" si="13"/>
        <v>150</v>
      </c>
      <c r="G147" s="176">
        <v>150</v>
      </c>
      <c r="H147" s="206">
        <v>170</v>
      </c>
      <c r="I147" s="178">
        <v>120</v>
      </c>
      <c r="J147" s="208">
        <v>100</v>
      </c>
      <c r="K147" s="204">
        <v>60</v>
      </c>
      <c r="L147" s="19">
        <v>355</v>
      </c>
      <c r="M147" s="205">
        <f t="shared" si="14"/>
        <v>150</v>
      </c>
      <c r="N147" s="205">
        <f t="shared" si="15"/>
        <v>150</v>
      </c>
      <c r="O147" s="205">
        <f t="shared" si="16"/>
        <v>150</v>
      </c>
      <c r="P147" s="205">
        <f t="shared" si="17"/>
        <v>150</v>
      </c>
    </row>
    <row r="148" spans="1:16" ht="16.5" hidden="1" thickBot="1">
      <c r="A148">
        <v>3</v>
      </c>
      <c r="C148" s="156">
        <v>0.6</v>
      </c>
      <c r="D148" s="157">
        <v>74</v>
      </c>
      <c r="E148" s="160">
        <f t="shared" si="12"/>
        <v>111</v>
      </c>
      <c r="F148" s="175">
        <f t="shared" si="13"/>
        <v>180</v>
      </c>
      <c r="G148" s="176">
        <v>180</v>
      </c>
      <c r="H148" s="206">
        <v>180</v>
      </c>
      <c r="I148" s="178">
        <v>123</v>
      </c>
      <c r="J148" s="208">
        <v>110</v>
      </c>
      <c r="K148" s="204">
        <v>80</v>
      </c>
      <c r="L148" s="19">
        <v>370</v>
      </c>
      <c r="M148" s="205">
        <f t="shared" si="14"/>
        <v>180</v>
      </c>
      <c r="N148" s="205">
        <f t="shared" si="15"/>
        <v>180</v>
      </c>
      <c r="O148" s="205">
        <f t="shared" si="16"/>
        <v>180</v>
      </c>
      <c r="P148" s="205">
        <f t="shared" si="17"/>
        <v>180</v>
      </c>
    </row>
    <row r="149" spans="1:16" ht="16.5" hidden="1" thickBot="1">
      <c r="A149">
        <v>3</v>
      </c>
      <c r="C149" s="156">
        <v>0.7</v>
      </c>
      <c r="D149" s="157">
        <v>74</v>
      </c>
      <c r="E149" s="160">
        <f t="shared" si="12"/>
        <v>111</v>
      </c>
      <c r="F149" s="175">
        <f t="shared" si="13"/>
        <v>205</v>
      </c>
      <c r="G149" s="176">
        <v>205</v>
      </c>
      <c r="H149" s="206">
        <v>205</v>
      </c>
      <c r="I149" s="178">
        <v>150</v>
      </c>
      <c r="J149" s="208">
        <v>110</v>
      </c>
      <c r="K149" s="204">
        <v>80</v>
      </c>
      <c r="L149" s="19">
        <v>385</v>
      </c>
      <c r="M149" s="205">
        <f t="shared" si="14"/>
        <v>205</v>
      </c>
      <c r="N149" s="205">
        <f t="shared" si="15"/>
        <v>205</v>
      </c>
      <c r="O149" s="205">
        <f t="shared" si="16"/>
        <v>205</v>
      </c>
      <c r="P149" s="205">
        <f t="shared" si="17"/>
        <v>205</v>
      </c>
    </row>
    <row r="150" spans="1:16" ht="16.5" hidden="1" thickBot="1">
      <c r="A150">
        <v>3</v>
      </c>
      <c r="C150" s="156">
        <v>0.8</v>
      </c>
      <c r="D150" s="157">
        <v>80</v>
      </c>
      <c r="E150" s="160">
        <f t="shared" si="12"/>
        <v>120</v>
      </c>
      <c r="F150" s="175">
        <f t="shared" si="13"/>
        <v>265</v>
      </c>
      <c r="G150" s="176">
        <v>265</v>
      </c>
      <c r="H150" s="177">
        <v>315</v>
      </c>
      <c r="I150" s="178">
        <v>260</v>
      </c>
      <c r="J150" s="209">
        <v>200</v>
      </c>
      <c r="K150" s="19">
        <v>100</v>
      </c>
      <c r="L150" s="19">
        <v>395</v>
      </c>
      <c r="M150" s="205">
        <f t="shared" si="14"/>
        <v>265</v>
      </c>
      <c r="N150" s="205">
        <f t="shared" si="15"/>
        <v>265</v>
      </c>
      <c r="O150" s="205">
        <f t="shared" si="16"/>
        <v>265</v>
      </c>
      <c r="P150" s="205">
        <f t="shared" si="17"/>
        <v>265</v>
      </c>
    </row>
    <row r="151" spans="1:16" ht="16.5" hidden="1" thickBot="1">
      <c r="A151">
        <v>3</v>
      </c>
      <c r="C151" s="156">
        <v>1</v>
      </c>
      <c r="D151" s="157">
        <v>80</v>
      </c>
      <c r="E151" s="160">
        <f t="shared" si="12"/>
        <v>120</v>
      </c>
      <c r="F151" s="175">
        <f t="shared" si="13"/>
        <v>355</v>
      </c>
      <c r="G151" s="176">
        <v>355</v>
      </c>
      <c r="H151" s="177">
        <v>330</v>
      </c>
      <c r="I151" s="178">
        <v>250</v>
      </c>
      <c r="J151" s="209">
        <v>230</v>
      </c>
      <c r="K151" s="19">
        <v>100</v>
      </c>
      <c r="L151" s="19">
        <v>410</v>
      </c>
      <c r="M151" s="205">
        <f t="shared" si="14"/>
        <v>355</v>
      </c>
      <c r="N151" s="205">
        <f t="shared" si="15"/>
        <v>355</v>
      </c>
      <c r="O151" s="205">
        <f t="shared" si="16"/>
        <v>355</v>
      </c>
      <c r="P151" s="205">
        <f t="shared" si="17"/>
        <v>355</v>
      </c>
    </row>
    <row r="152" spans="1:16" ht="16.5" hidden="1" thickBot="1">
      <c r="A152">
        <v>3</v>
      </c>
      <c r="C152" s="156">
        <v>1.1</v>
      </c>
      <c r="D152" s="157">
        <v>84</v>
      </c>
      <c r="E152" s="160">
        <f t="shared" si="12"/>
        <v>126</v>
      </c>
      <c r="F152" s="175">
        <f t="shared" si="13"/>
        <v>415</v>
      </c>
      <c r="G152" s="176">
        <v>415</v>
      </c>
      <c r="H152" s="177">
        <v>350</v>
      </c>
      <c r="I152" s="178">
        <v>250</v>
      </c>
      <c r="J152" s="209">
        <v>240</v>
      </c>
      <c r="K152" s="19">
        <v>110</v>
      </c>
      <c r="L152" s="19">
        <v>425</v>
      </c>
      <c r="M152" s="205">
        <f t="shared" si="14"/>
        <v>415</v>
      </c>
      <c r="N152" s="205">
        <f t="shared" si="15"/>
        <v>415</v>
      </c>
      <c r="O152" s="205">
        <f t="shared" si="16"/>
        <v>415</v>
      </c>
      <c r="P152" s="205">
        <f t="shared" si="17"/>
        <v>415</v>
      </c>
    </row>
    <row r="153" spans="1:16" ht="16.5" hidden="1" thickBot="1">
      <c r="A153">
        <v>3</v>
      </c>
      <c r="C153" s="158">
        <v>1.2</v>
      </c>
      <c r="D153" s="159">
        <v>84</v>
      </c>
      <c r="E153" s="160">
        <f t="shared" si="12"/>
        <v>126</v>
      </c>
      <c r="F153" s="175">
        <f t="shared" si="13"/>
        <v>430</v>
      </c>
      <c r="G153" s="176">
        <v>430</v>
      </c>
      <c r="H153" s="177">
        <v>400</v>
      </c>
      <c r="I153" s="178">
        <v>255</v>
      </c>
      <c r="J153" s="209">
        <v>250</v>
      </c>
      <c r="K153" s="19">
        <v>110</v>
      </c>
      <c r="L153" s="19">
        <v>430</v>
      </c>
      <c r="M153" s="205">
        <f t="shared" si="14"/>
        <v>430</v>
      </c>
      <c r="N153" s="205">
        <f t="shared" si="15"/>
        <v>430</v>
      </c>
      <c r="O153" s="205">
        <f t="shared" si="16"/>
        <v>430</v>
      </c>
      <c r="P153" s="205">
        <f t="shared" si="17"/>
        <v>430</v>
      </c>
    </row>
    <row r="154" ht="12.75" hidden="1">
      <c r="A154">
        <v>3</v>
      </c>
    </row>
    <row r="155" spans="1:5" ht="12.75" hidden="1">
      <c r="A155">
        <v>3</v>
      </c>
      <c r="E155">
        <f>LOOKUP(F175,C142:C204,E142:E153)</f>
        <v>126</v>
      </c>
    </row>
    <row r="156" ht="12.75" hidden="1">
      <c r="A156">
        <v>3</v>
      </c>
    </row>
    <row r="157" ht="12.75" hidden="1">
      <c r="A157">
        <v>3</v>
      </c>
    </row>
    <row r="158" ht="12.75" hidden="1">
      <c r="A158">
        <v>3</v>
      </c>
    </row>
    <row r="159" ht="12.75" hidden="1">
      <c r="A159">
        <v>3</v>
      </c>
    </row>
    <row r="160" ht="12.75" hidden="1">
      <c r="A160">
        <v>3</v>
      </c>
    </row>
    <row r="161" spans="1:14" ht="20.25">
      <c r="A161">
        <v>3</v>
      </c>
      <c r="B161" s="2"/>
      <c r="C161" s="11"/>
      <c r="D161" s="11"/>
      <c r="E161" s="96" t="s">
        <v>455</v>
      </c>
      <c r="F161" s="11"/>
      <c r="G161" s="11"/>
      <c r="H161" s="11"/>
      <c r="I161" s="11"/>
      <c r="J161" s="11"/>
      <c r="K161" s="292"/>
      <c r="L161" s="260"/>
      <c r="M161" s="261"/>
      <c r="N161" s="261"/>
    </row>
    <row r="162" spans="1:14" ht="12.75">
      <c r="A162">
        <v>3</v>
      </c>
      <c r="B162" s="2"/>
      <c r="C162" s="2"/>
      <c r="D162" s="2"/>
      <c r="E162" s="2"/>
      <c r="F162" s="12"/>
      <c r="G162" s="12"/>
      <c r="H162" s="10"/>
      <c r="I162" s="12"/>
      <c r="J162" s="2"/>
      <c r="K162" s="292"/>
      <c r="L162" s="260"/>
      <c r="M162" s="261"/>
      <c r="N162" s="261"/>
    </row>
    <row r="163" spans="1:14" ht="12.75">
      <c r="A163">
        <v>3</v>
      </c>
      <c r="D163" s="49" t="s">
        <v>53</v>
      </c>
      <c r="E163" s="49" t="s">
        <v>357</v>
      </c>
      <c r="F163" s="49" t="s">
        <v>358</v>
      </c>
      <c r="G163" s="49" t="s">
        <v>359</v>
      </c>
      <c r="H163" s="49" t="s">
        <v>360</v>
      </c>
      <c r="I163" s="12"/>
      <c r="J163" s="2"/>
      <c r="K163" s="292"/>
      <c r="L163" s="260"/>
      <c r="M163" s="261"/>
      <c r="N163" s="261"/>
    </row>
    <row r="164" spans="1:14" ht="16.5" thickBot="1">
      <c r="A164">
        <v>3</v>
      </c>
      <c r="D164" s="139">
        <v>749</v>
      </c>
      <c r="E164" s="97">
        <f>LOOKUP(D164,[0]!numerocargo,[0]!puntosbasicoscargo)</f>
        <v>971</v>
      </c>
      <c r="F164" s="97">
        <f>LOOKUP(D164,[0]!numerocargo,[0]!tardifcargo)</f>
        <v>0</v>
      </c>
      <c r="G164" s="97">
        <f>LOOKUP(D164,[0]!numerocargo,[0]!proljorcargo)</f>
        <v>0</v>
      </c>
      <c r="H164" s="97">
        <f>LOOKUP(D164,[0]!numerocargo,[0]!jorcomcargo)</f>
        <v>0</v>
      </c>
      <c r="I164" s="12"/>
      <c r="J164" s="2"/>
      <c r="K164" s="292"/>
      <c r="L164" s="260"/>
      <c r="M164" s="261"/>
      <c r="N164" s="261"/>
    </row>
    <row r="165" spans="1:14" ht="13.5" thickBot="1">
      <c r="A165">
        <v>3</v>
      </c>
      <c r="D165" s="98" t="s">
        <v>54</v>
      </c>
      <c r="E165" s="99" t="str">
        <f>LOOKUP(D164,[0]!numerocargo,[0]!nombrecargo)</f>
        <v> MAESTRO DE GRADO</v>
      </c>
      <c r="F165" s="47"/>
      <c r="G165" s="47"/>
      <c r="H165" s="72"/>
      <c r="I165" s="12"/>
      <c r="J165" s="2"/>
      <c r="K165" s="292"/>
      <c r="L165" s="260"/>
      <c r="M165" s="261"/>
      <c r="N165" s="261"/>
    </row>
    <row r="166" spans="1:14" ht="13.5" thickBot="1">
      <c r="A166">
        <v>3</v>
      </c>
      <c r="D166" s="262"/>
      <c r="E166" s="10"/>
      <c r="F166" s="2"/>
      <c r="G166" s="2"/>
      <c r="H166" s="2"/>
      <c r="I166" s="166" t="s">
        <v>388</v>
      </c>
      <c r="J166" s="2"/>
      <c r="K166" s="293"/>
      <c r="L166" s="2"/>
      <c r="M166" s="11"/>
      <c r="N166" s="11"/>
    </row>
    <row r="167" spans="1:14" ht="19.5" thickBot="1" thickTop="1">
      <c r="A167">
        <v>3</v>
      </c>
      <c r="D167" s="263" t="s">
        <v>376</v>
      </c>
      <c r="E167" s="145"/>
      <c r="F167" s="145"/>
      <c r="G167" s="145"/>
      <c r="H167" s="264">
        <v>120</v>
      </c>
      <c r="I167" s="167">
        <f>H167/120</f>
        <v>1</v>
      </c>
      <c r="J167" s="2"/>
      <c r="K167" s="293"/>
      <c r="L167" s="2"/>
      <c r="M167" s="11"/>
      <c r="N167" s="11"/>
    </row>
    <row r="168" spans="1:14" ht="17.25" thickBot="1" thickTop="1">
      <c r="A168">
        <v>3</v>
      </c>
      <c r="B168" s="262"/>
      <c r="C168" s="10"/>
      <c r="D168" s="2"/>
      <c r="E168" s="2"/>
      <c r="F168" s="265"/>
      <c r="G168" s="12"/>
      <c r="H168" s="10"/>
      <c r="I168" s="12"/>
      <c r="J168" s="2"/>
      <c r="K168" s="293"/>
      <c r="L168" s="2"/>
      <c r="M168" s="11"/>
      <c r="N168" s="11"/>
    </row>
    <row r="169" spans="1:14" ht="17.25" thickBot="1" thickTop="1">
      <c r="A169">
        <v>3</v>
      </c>
      <c r="B169" s="262"/>
      <c r="D169" s="143" t="s">
        <v>390</v>
      </c>
      <c r="E169" s="170">
        <v>0</v>
      </c>
      <c r="F169" s="265"/>
      <c r="G169" s="12"/>
      <c r="H169" s="10"/>
      <c r="I169" s="12"/>
      <c r="J169" s="2"/>
      <c r="K169" s="293"/>
      <c r="L169" s="2"/>
      <c r="M169" s="11"/>
      <c r="N169" s="11"/>
    </row>
    <row r="170" spans="1:14" ht="14.25" thickBot="1" thickTop="1">
      <c r="A170">
        <v>3</v>
      </c>
      <c r="B170" s="262"/>
      <c r="C170" s="10"/>
      <c r="D170" s="2"/>
      <c r="E170" s="2"/>
      <c r="F170" s="2"/>
      <c r="G170" s="12"/>
      <c r="H170" s="10"/>
      <c r="I170" s="12"/>
      <c r="J170" s="2"/>
      <c r="K170" s="293"/>
      <c r="L170" s="2"/>
      <c r="M170" s="11"/>
      <c r="N170" s="11"/>
    </row>
    <row r="171" spans="1:14" ht="16.5" thickBot="1">
      <c r="A171">
        <v>3</v>
      </c>
      <c r="B171" s="262"/>
      <c r="C171" s="10"/>
      <c r="D171" s="100" t="s">
        <v>361</v>
      </c>
      <c r="E171" s="46"/>
      <c r="F171" s="101">
        <f>(valorcod038+(E164*0.2107+valorcod038)*2.2*0.07)*0.216</f>
        <v>28.252146340800003</v>
      </c>
      <c r="G171" s="168"/>
      <c r="H171" s="266"/>
      <c r="I171" s="2"/>
      <c r="J171" s="2"/>
      <c r="K171" s="293"/>
      <c r="L171" s="2"/>
      <c r="M171" s="11"/>
      <c r="N171" s="11"/>
    </row>
    <row r="172" spans="1:14" ht="12.75">
      <c r="A172">
        <v>3</v>
      </c>
      <c r="B172" s="262"/>
      <c r="C172" s="10"/>
      <c r="D172" s="2"/>
      <c r="E172" s="2"/>
      <c r="F172" s="2"/>
      <c r="G172" s="2"/>
      <c r="H172" s="10"/>
      <c r="I172" s="2"/>
      <c r="J172" s="2"/>
      <c r="K172" s="293"/>
      <c r="L172" s="2"/>
      <c r="M172" s="11"/>
      <c r="N172" s="11"/>
    </row>
    <row r="173" spans="1:14" ht="13.5" thickBot="1">
      <c r="A173">
        <v>3</v>
      </c>
      <c r="B173" s="2"/>
      <c r="C173" s="11"/>
      <c r="D173" s="11"/>
      <c r="E173" s="11"/>
      <c r="F173" s="11"/>
      <c r="G173" s="11"/>
      <c r="H173" s="11"/>
      <c r="I173" s="11"/>
      <c r="J173" s="11"/>
      <c r="K173" s="69"/>
      <c r="L173" s="11"/>
      <c r="M173" s="11"/>
      <c r="N173" s="11"/>
    </row>
    <row r="174" spans="1:14" ht="16.5" thickBot="1">
      <c r="A174">
        <v>3</v>
      </c>
      <c r="B174" s="2"/>
      <c r="C174" s="11"/>
      <c r="D174" s="102" t="s">
        <v>15</v>
      </c>
      <c r="E174" s="47"/>
      <c r="F174" s="103">
        <f>E164*indicefeb07</f>
        <v>441.1253</v>
      </c>
      <c r="G174" s="11"/>
      <c r="H174" s="11"/>
      <c r="I174" s="11"/>
      <c r="J174" s="104"/>
      <c r="K174" s="294"/>
      <c r="L174" s="11"/>
      <c r="M174" s="11"/>
      <c r="N174" s="11"/>
    </row>
    <row r="175" spans="1:14" ht="16.5" thickBot="1">
      <c r="A175">
        <v>3</v>
      </c>
      <c r="B175" s="2"/>
      <c r="C175" s="11"/>
      <c r="D175" s="102" t="s">
        <v>16</v>
      </c>
      <c r="E175" s="47"/>
      <c r="F175" s="142">
        <v>1.2</v>
      </c>
      <c r="G175" s="11" t="s">
        <v>17</v>
      </c>
      <c r="H175" s="11"/>
      <c r="I175" s="11"/>
      <c r="J175" s="11"/>
      <c r="K175" s="294"/>
      <c r="L175" s="11"/>
      <c r="M175" s="11"/>
      <c r="N175" s="11"/>
    </row>
    <row r="176" spans="1:14" ht="15.75">
      <c r="A176">
        <v>3</v>
      </c>
      <c r="B176" s="2"/>
      <c r="C176" s="11"/>
      <c r="D176" s="293"/>
      <c r="E176" s="293"/>
      <c r="F176" s="295"/>
      <c r="G176" s="69"/>
      <c r="H176" s="69"/>
      <c r="I176" s="69"/>
      <c r="J176" s="69"/>
      <c r="K176" s="296"/>
      <c r="L176" s="11"/>
      <c r="M176" s="11"/>
      <c r="N176" s="11"/>
    </row>
    <row r="177" spans="1:14" ht="18.75" hidden="1" thickBot="1">
      <c r="A177">
        <v>3</v>
      </c>
      <c r="B177" s="2"/>
      <c r="C177" s="11"/>
      <c r="D177" s="106" t="s">
        <v>18</v>
      </c>
      <c r="E177" s="106"/>
      <c r="F177" s="107">
        <f>E164</f>
        <v>971</v>
      </c>
      <c r="G177" s="11" t="s">
        <v>19</v>
      </c>
      <c r="H177" s="11"/>
      <c r="I177" s="104">
        <f>H164</f>
        <v>0</v>
      </c>
      <c r="J177" s="2"/>
      <c r="K177" s="11"/>
      <c r="L177" s="11"/>
      <c r="M177" s="11"/>
      <c r="N177" s="11"/>
    </row>
    <row r="178" spans="1:14" ht="15.75" hidden="1">
      <c r="A178">
        <v>3</v>
      </c>
      <c r="B178" s="2"/>
      <c r="C178" s="11"/>
      <c r="D178" s="2"/>
      <c r="E178" s="2"/>
      <c r="F178" s="270"/>
      <c r="G178" s="11"/>
      <c r="H178" s="11"/>
      <c r="I178" s="2"/>
      <c r="J178" s="108"/>
      <c r="K178" s="11"/>
      <c r="L178" s="11"/>
      <c r="M178" s="11"/>
      <c r="N178" s="11"/>
    </row>
    <row r="179" spans="1:14" ht="12.75" hidden="1">
      <c r="A179">
        <v>3</v>
      </c>
      <c r="B179" s="2"/>
      <c r="C179" s="11"/>
      <c r="D179" s="11"/>
      <c r="E179" s="11"/>
      <c r="F179" s="11"/>
      <c r="G179" s="11"/>
      <c r="H179" s="271">
        <f>1+F175</f>
        <v>2.2</v>
      </c>
      <c r="I179" s="11"/>
      <c r="J179" s="11"/>
      <c r="K179" s="11"/>
      <c r="L179" s="11"/>
      <c r="M179" s="11"/>
      <c r="N179" s="11"/>
    </row>
    <row r="180" spans="1:8" ht="12.75" hidden="1">
      <c r="A180">
        <v>3</v>
      </c>
      <c r="B180" s="2"/>
      <c r="C180" s="11"/>
      <c r="D180" s="19">
        <v>400</v>
      </c>
      <c r="E180" s="19" t="s">
        <v>20</v>
      </c>
      <c r="F180" s="109">
        <f>punbasjubvarios3*indicefeb07*0.82*frac3</f>
        <v>361.722746</v>
      </c>
      <c r="G180" s="11"/>
      <c r="H180" s="11"/>
    </row>
    <row r="181" spans="1:8" ht="12.75" hidden="1">
      <c r="A181">
        <v>3</v>
      </c>
      <c r="B181" s="2"/>
      <c r="C181" s="11"/>
      <c r="D181" s="19">
        <v>404</v>
      </c>
      <c r="E181" s="19" t="s">
        <v>364</v>
      </c>
      <c r="F181" s="109">
        <f>F164*indicefeb07*0.82*frac3</f>
        <v>0</v>
      </c>
      <c r="G181" s="11"/>
      <c r="H181" s="11"/>
    </row>
    <row r="182" spans="1:8" ht="12.75" hidden="1">
      <c r="A182">
        <v>3</v>
      </c>
      <c r="B182" s="2"/>
      <c r="C182" s="11"/>
      <c r="D182" s="19">
        <v>406</v>
      </c>
      <c r="E182" s="19" t="s">
        <v>21</v>
      </c>
      <c r="F182" s="109">
        <f>(F180+F186+F181+F184+F189)*F175</f>
        <v>434.06729519999993</v>
      </c>
      <c r="G182" s="11"/>
      <c r="H182" s="11"/>
    </row>
    <row r="183" spans="1:8" ht="12.75" hidden="1">
      <c r="A183">
        <v>3</v>
      </c>
      <c r="B183" s="2"/>
      <c r="C183" s="11"/>
      <c r="D183" s="19">
        <v>408</v>
      </c>
      <c r="E183" s="19" t="s">
        <v>389</v>
      </c>
      <c r="F183" s="109">
        <f>(F180+F184+F186+F189)*E169</f>
        <v>0</v>
      </c>
      <c r="G183" s="11"/>
      <c r="H183" s="11"/>
    </row>
    <row r="184" spans="1:8" ht="12.75" hidden="1">
      <c r="A184">
        <v>3</v>
      </c>
      <c r="B184" s="2"/>
      <c r="C184" s="11"/>
      <c r="D184" s="19">
        <v>416</v>
      </c>
      <c r="E184" s="110" t="s">
        <v>365</v>
      </c>
      <c r="F184" s="109">
        <f>(G164+H164)*proljorfeb07*0.82*frac3</f>
        <v>0</v>
      </c>
      <c r="G184" s="11"/>
      <c r="H184" s="11"/>
    </row>
    <row r="185" spans="1:8" ht="12.75" hidden="1">
      <c r="A185">
        <v>3</v>
      </c>
      <c r="B185" s="2"/>
      <c r="C185" s="15"/>
      <c r="D185" s="19">
        <v>432</v>
      </c>
      <c r="E185" s="19" t="s">
        <v>387</v>
      </c>
      <c r="F185" s="16">
        <f>cod06feb07varios3*0.82*frac3</f>
        <v>352.59999999999997</v>
      </c>
      <c r="G185" s="11"/>
      <c r="H185" s="11"/>
    </row>
    <row r="186" spans="1:8" ht="12.75" hidden="1">
      <c r="A186">
        <v>3</v>
      </c>
      <c r="B186" s="2"/>
      <c r="C186" s="15"/>
      <c r="D186" s="19">
        <v>542</v>
      </c>
      <c r="E186" s="19" t="s">
        <v>449</v>
      </c>
      <c r="F186" s="109">
        <f>cod38feb07*0.82*frac3</f>
        <v>0</v>
      </c>
      <c r="G186" s="11"/>
      <c r="H186" s="11"/>
    </row>
    <row r="187" spans="1:8" ht="12.75" hidden="1">
      <c r="A187">
        <v>3</v>
      </c>
      <c r="B187" s="2"/>
      <c r="C187" s="15"/>
      <c r="D187" s="19">
        <v>434</v>
      </c>
      <c r="E187" s="19" t="s">
        <v>362</v>
      </c>
      <c r="F187" s="109">
        <f>(F180+F181+F182+F184+F185+F186+F183+F189+F190)*0.07*0.95</f>
        <v>76.36793773979998</v>
      </c>
      <c r="G187" s="11"/>
      <c r="H187" s="11"/>
    </row>
    <row r="188" spans="1:8" ht="12.75" hidden="1">
      <c r="A188">
        <v>3</v>
      </c>
      <c r="B188" s="2"/>
      <c r="C188" s="15"/>
      <c r="D188" s="19">
        <v>438</v>
      </c>
      <c r="E188" s="19" t="s">
        <v>363</v>
      </c>
      <c r="F188" s="109">
        <f>F171*0.82*frac3</f>
        <v>23.166759999456</v>
      </c>
      <c r="G188" s="11"/>
      <c r="H188" s="11"/>
    </row>
    <row r="189" spans="1:8" ht="12.75" hidden="1">
      <c r="A189">
        <v>3</v>
      </c>
      <c r="B189" s="2"/>
      <c r="C189" s="15"/>
      <c r="D189" s="19">
        <v>437</v>
      </c>
      <c r="E189" s="111" t="s">
        <v>450</v>
      </c>
      <c r="F189" s="272">
        <f>cod022feb07*0.82*frac3</f>
        <v>0</v>
      </c>
      <c r="G189" s="11"/>
      <c r="H189" s="11"/>
    </row>
    <row r="190" spans="1:8" ht="12.75" hidden="1">
      <c r="A190">
        <v>3</v>
      </c>
      <c r="B190" s="2"/>
      <c r="C190" s="15"/>
      <c r="D190" s="19">
        <v>439</v>
      </c>
      <c r="E190" s="111" t="s">
        <v>451</v>
      </c>
      <c r="F190" s="272">
        <v>0</v>
      </c>
      <c r="G190" s="11"/>
      <c r="H190" s="11"/>
    </row>
    <row r="191" spans="1:8" ht="15.75" hidden="1">
      <c r="A191">
        <v>3</v>
      </c>
      <c r="B191" s="2"/>
      <c r="C191" s="15"/>
      <c r="D191" s="19">
        <v>417</v>
      </c>
      <c r="E191" s="111" t="s">
        <v>452</v>
      </c>
      <c r="F191" s="272">
        <v>0</v>
      </c>
      <c r="G191" s="273" t="s">
        <v>453</v>
      </c>
      <c r="H191" s="11"/>
    </row>
    <row r="192" spans="1:8" ht="13.5" hidden="1" thickBot="1">
      <c r="A192">
        <v>3</v>
      </c>
      <c r="B192" s="2"/>
      <c r="C192" s="15"/>
      <c r="D192" s="19"/>
      <c r="E192" s="111" t="s">
        <v>385</v>
      </c>
      <c r="F192" s="140">
        <v>0</v>
      </c>
      <c r="G192" s="11"/>
      <c r="H192" s="11"/>
    </row>
    <row r="193" spans="1:8" ht="16.5" hidden="1" thickBot="1">
      <c r="A193">
        <v>3</v>
      </c>
      <c r="B193" s="2"/>
      <c r="C193" s="15"/>
      <c r="D193" s="112"/>
      <c r="E193" s="113" t="s">
        <v>22</v>
      </c>
      <c r="F193" s="114">
        <f>SUM(F180:F192)</f>
        <v>1247.9247389392558</v>
      </c>
      <c r="G193" s="11"/>
      <c r="H193" s="11"/>
    </row>
    <row r="194" spans="1:8" ht="12.75" hidden="1">
      <c r="A194">
        <v>3</v>
      </c>
      <c r="B194" s="2"/>
      <c r="C194" s="15"/>
      <c r="D194" s="19">
        <v>703</v>
      </c>
      <c r="E194" s="115" t="s">
        <v>366</v>
      </c>
      <c r="F194" s="116">
        <f>(F193-F192)*0.0025</f>
        <v>3.1198118473481395</v>
      </c>
      <c r="G194" s="11"/>
      <c r="H194" s="11"/>
    </row>
    <row r="195" spans="1:8" ht="12.75" hidden="1">
      <c r="A195">
        <v>3</v>
      </c>
      <c r="B195" s="2"/>
      <c r="C195" s="11"/>
      <c r="D195" s="20">
        <v>707</v>
      </c>
      <c r="E195" s="117" t="s">
        <v>24</v>
      </c>
      <c r="F195" s="18">
        <f>(F193-F192)*0.03</f>
        <v>37.43774216817767</v>
      </c>
      <c r="G195" s="11"/>
      <c r="H195" s="11"/>
    </row>
    <row r="196" spans="1:8" ht="12.75" hidden="1">
      <c r="A196">
        <v>3</v>
      </c>
      <c r="B196" s="2"/>
      <c r="C196" s="274"/>
      <c r="D196" s="20">
        <v>709</v>
      </c>
      <c r="E196" s="117" t="s">
        <v>25</v>
      </c>
      <c r="F196" s="18">
        <f>(F193-F192)*0.0213</f>
        <v>26.58079693940615</v>
      </c>
      <c r="G196" s="11"/>
      <c r="H196" s="11"/>
    </row>
    <row r="197" spans="1:8" ht="12.75" hidden="1">
      <c r="A197">
        <v>3</v>
      </c>
      <c r="B197" s="2"/>
      <c r="C197" s="274"/>
      <c r="D197" s="17">
        <v>710</v>
      </c>
      <c r="E197" s="117" t="s">
        <v>26</v>
      </c>
      <c r="F197" s="18">
        <f>(F193-F192)*0.00754</f>
        <v>9.40935253160199</v>
      </c>
      <c r="G197" s="11"/>
      <c r="H197" s="11"/>
    </row>
    <row r="198" spans="1:8" ht="12.75" hidden="1">
      <c r="A198">
        <v>3</v>
      </c>
      <c r="B198" s="2"/>
      <c r="C198" s="274"/>
      <c r="D198" s="17">
        <v>713</v>
      </c>
      <c r="E198" s="117" t="s">
        <v>27</v>
      </c>
      <c r="F198" s="18">
        <f>(F193-F192)*0.007</f>
        <v>8.73547317257479</v>
      </c>
      <c r="G198" s="11"/>
      <c r="H198" s="11"/>
    </row>
    <row r="199" spans="1:8" ht="13.5" hidden="1" thickBot="1">
      <c r="A199">
        <v>3</v>
      </c>
      <c r="B199" s="2"/>
      <c r="C199" s="275"/>
      <c r="D199" s="17"/>
      <c r="E199" s="118" t="s">
        <v>28</v>
      </c>
      <c r="F199" s="56">
        <v>0</v>
      </c>
      <c r="G199" s="11"/>
      <c r="H199" s="11"/>
    </row>
    <row r="200" spans="1:8" ht="16.5" hidden="1" thickBot="1">
      <c r="A200">
        <v>3</v>
      </c>
      <c r="B200" s="2"/>
      <c r="C200" s="15"/>
      <c r="D200" s="119"/>
      <c r="E200" s="113" t="s">
        <v>29</v>
      </c>
      <c r="F200" s="114">
        <f>SUM(F194:F199)</f>
        <v>85.28317665910873</v>
      </c>
      <c r="G200" s="11"/>
      <c r="H200" s="11"/>
    </row>
    <row r="201" spans="1:8" ht="13.5" hidden="1" thickBot="1">
      <c r="A201">
        <v>3</v>
      </c>
      <c r="B201" s="2"/>
      <c r="C201" s="15"/>
      <c r="D201" s="120"/>
      <c r="E201" s="121"/>
      <c r="F201" s="122"/>
      <c r="G201" s="11"/>
      <c r="H201" s="11"/>
    </row>
    <row r="202" spans="1:8" ht="16.5" hidden="1" thickBot="1">
      <c r="A202">
        <v>3</v>
      </c>
      <c r="B202" s="11"/>
      <c r="C202" s="11"/>
      <c r="D202" s="123"/>
      <c r="E202" s="124" t="s">
        <v>30</v>
      </c>
      <c r="F202" s="125">
        <f>F193-F200</f>
        <v>1162.6415622801471</v>
      </c>
      <c r="G202" s="11"/>
      <c r="H202" s="11"/>
    </row>
    <row r="203" spans="1:14" ht="15.75" hidden="1">
      <c r="A203">
        <v>3</v>
      </c>
      <c r="B203" s="126"/>
      <c r="C203" s="278"/>
      <c r="D203" s="279"/>
      <c r="E203" s="280"/>
      <c r="F203" s="126"/>
      <c r="G203" s="278"/>
      <c r="H203" s="281"/>
      <c r="I203" s="282"/>
      <c r="J203" s="11"/>
      <c r="K203" s="85"/>
      <c r="L203" s="12"/>
      <c r="M203" s="11"/>
      <c r="N203" s="11"/>
    </row>
    <row r="204" ht="12.75" hidden="1"/>
    <row r="205" ht="12.75" hidden="1"/>
    <row r="206" ht="12.75" hidden="1"/>
    <row r="207" spans="3:16" ht="15.75" hidden="1">
      <c r="C207" s="146" t="s">
        <v>397</v>
      </c>
      <c r="D207" s="146"/>
      <c r="E207" s="147" t="s">
        <v>394</v>
      </c>
      <c r="F207" s="199">
        <v>5</v>
      </c>
      <c r="G207" s="200" t="s">
        <v>428</v>
      </c>
      <c r="H207" s="200" t="s">
        <v>429</v>
      </c>
      <c r="I207" s="200" t="s">
        <v>430</v>
      </c>
      <c r="J207" s="200" t="s">
        <v>431</v>
      </c>
      <c r="K207" s="200" t="s">
        <v>432</v>
      </c>
      <c r="L207" s="200" t="s">
        <v>433</v>
      </c>
      <c r="M207" s="200">
        <v>1</v>
      </c>
      <c r="N207" s="200">
        <v>2</v>
      </c>
      <c r="O207" s="200">
        <v>3</v>
      </c>
      <c r="P207" s="200">
        <v>4</v>
      </c>
    </row>
    <row r="208" spans="1:16" ht="13.5" hidden="1" thickBot="1">
      <c r="A208">
        <v>4</v>
      </c>
      <c r="C208" s="146"/>
      <c r="D208" s="146"/>
      <c r="E208" s="147"/>
      <c r="F208" s="171"/>
      <c r="G208" s="11" t="s">
        <v>447</v>
      </c>
      <c r="H208" s="172" t="s">
        <v>435</v>
      </c>
      <c r="I208" s="172" t="s">
        <v>436</v>
      </c>
      <c r="J208" s="172" t="s">
        <v>437</v>
      </c>
      <c r="K208" s="172" t="s">
        <v>438</v>
      </c>
      <c r="L208" s="172" t="s">
        <v>439</v>
      </c>
      <c r="M208" s="172"/>
      <c r="N208" s="172"/>
      <c r="O208" s="172"/>
      <c r="P208" s="11"/>
    </row>
    <row r="209" spans="1:16" ht="13.5" hidden="1" thickBot="1">
      <c r="A209">
        <v>4</v>
      </c>
      <c r="C209" s="148" t="s">
        <v>21</v>
      </c>
      <c r="D209" s="149" t="s">
        <v>395</v>
      </c>
      <c r="E209" s="150" t="s">
        <v>396</v>
      </c>
      <c r="F209" s="173"/>
      <c r="G209" s="174"/>
      <c r="H209" s="11"/>
      <c r="I209" s="11"/>
      <c r="J209" s="11"/>
      <c r="K209" s="11"/>
      <c r="L209" s="11"/>
      <c r="M209" s="11"/>
      <c r="N209" s="11"/>
      <c r="O209" s="11"/>
      <c r="P209" s="11"/>
    </row>
    <row r="210" spans="1:16" ht="16.5" hidden="1" thickBot="1">
      <c r="A210">
        <v>4</v>
      </c>
      <c r="C210" s="151">
        <v>0</v>
      </c>
      <c r="D210" s="152">
        <v>0</v>
      </c>
      <c r="E210" s="153">
        <f aca="true" t="shared" si="18" ref="E210:E221">D210*1.5</f>
        <v>0</v>
      </c>
      <c r="F210" s="175">
        <f>IF(puntosproljorvarios4&lt;620,P210,L210)</f>
        <v>0</v>
      </c>
      <c r="G210" s="176">
        <v>0</v>
      </c>
      <c r="H210" s="201">
        <v>0</v>
      </c>
      <c r="I210" s="202">
        <v>0</v>
      </c>
      <c r="J210" s="203">
        <v>0</v>
      </c>
      <c r="K210" s="204">
        <v>0</v>
      </c>
      <c r="L210" s="19">
        <v>0</v>
      </c>
      <c r="M210" s="205">
        <f>IF(punbasjubvarios4&lt;1170,G210,H210)</f>
        <v>0</v>
      </c>
      <c r="N210" s="205">
        <f>IF(punbasjubvarios4&lt;1401,M210,I210)</f>
        <v>0</v>
      </c>
      <c r="O210" s="205">
        <f>IF(punbasjubvarios4&lt;1943,N210,J210)</f>
        <v>0</v>
      </c>
      <c r="P210" s="205">
        <f>IF(punbasjubvarios4&lt;=2220,O210,K210)</f>
        <v>0</v>
      </c>
    </row>
    <row r="211" spans="1:16" ht="16.5" hidden="1" thickBot="1">
      <c r="A211">
        <v>4</v>
      </c>
      <c r="C211" s="154">
        <v>0.1</v>
      </c>
      <c r="D211" s="155">
        <v>0</v>
      </c>
      <c r="E211" s="153">
        <f t="shared" si="18"/>
        <v>0</v>
      </c>
      <c r="F211" s="175">
        <f aca="true" t="shared" si="19" ref="F211:F221">IF(puntosproljorvarios4&lt;620,P211,L211)</f>
        <v>0</v>
      </c>
      <c r="G211" s="176">
        <v>0</v>
      </c>
      <c r="H211" s="201">
        <v>0</v>
      </c>
      <c r="I211" s="202">
        <v>0</v>
      </c>
      <c r="J211" s="203">
        <v>0</v>
      </c>
      <c r="K211" s="204">
        <v>0</v>
      </c>
      <c r="L211" s="19">
        <v>0</v>
      </c>
      <c r="M211" s="205">
        <f aca="true" t="shared" si="20" ref="M211:M221">IF(punbasjubvarios4&lt;1170,G211,H211)</f>
        <v>0</v>
      </c>
      <c r="N211" s="205">
        <f aca="true" t="shared" si="21" ref="N211:N221">IF(punbasjubvarios4&lt;1401,M211,I211)</f>
        <v>0</v>
      </c>
      <c r="O211" s="205">
        <f aca="true" t="shared" si="22" ref="O211:O221">IF(punbasjubvarios4&lt;1943,N211,J211)</f>
        <v>0</v>
      </c>
      <c r="P211" s="205">
        <f aca="true" t="shared" si="23" ref="P211:P221">IF(punbasjubvarios4&lt;=2220,O211,K211)</f>
        <v>0</v>
      </c>
    </row>
    <row r="212" spans="1:16" ht="16.5" hidden="1" thickBot="1">
      <c r="A212">
        <v>4</v>
      </c>
      <c r="C212" s="156">
        <v>0.15</v>
      </c>
      <c r="D212" s="157">
        <v>58</v>
      </c>
      <c r="E212" s="160">
        <f t="shared" si="18"/>
        <v>87</v>
      </c>
      <c r="F212" s="175">
        <f t="shared" si="19"/>
        <v>100</v>
      </c>
      <c r="G212" s="176">
        <v>100</v>
      </c>
      <c r="H212" s="206">
        <v>160</v>
      </c>
      <c r="I212" s="207">
        <v>113</v>
      </c>
      <c r="J212" s="208">
        <v>100</v>
      </c>
      <c r="K212" s="204">
        <v>0</v>
      </c>
      <c r="L212" s="19">
        <v>140</v>
      </c>
      <c r="M212" s="205">
        <f t="shared" si="20"/>
        <v>100</v>
      </c>
      <c r="N212" s="205">
        <f t="shared" si="21"/>
        <v>100</v>
      </c>
      <c r="O212" s="205">
        <f t="shared" si="22"/>
        <v>100</v>
      </c>
      <c r="P212" s="205">
        <f t="shared" si="23"/>
        <v>100</v>
      </c>
    </row>
    <row r="213" spans="1:16" ht="16.5" hidden="1" thickBot="1">
      <c r="A213">
        <v>4</v>
      </c>
      <c r="C213" s="156">
        <v>0.3</v>
      </c>
      <c r="D213" s="157">
        <v>58</v>
      </c>
      <c r="E213" s="160">
        <f t="shared" si="18"/>
        <v>87</v>
      </c>
      <c r="F213" s="175">
        <f t="shared" si="19"/>
        <v>115</v>
      </c>
      <c r="G213" s="176">
        <v>115</v>
      </c>
      <c r="H213" s="206">
        <v>160</v>
      </c>
      <c r="I213" s="207">
        <v>113</v>
      </c>
      <c r="J213" s="208">
        <v>100</v>
      </c>
      <c r="K213" s="204">
        <v>0</v>
      </c>
      <c r="L213" s="19">
        <v>270</v>
      </c>
      <c r="M213" s="205">
        <f t="shared" si="20"/>
        <v>115</v>
      </c>
      <c r="N213" s="205">
        <f t="shared" si="21"/>
        <v>115</v>
      </c>
      <c r="O213" s="205">
        <f t="shared" si="22"/>
        <v>115</v>
      </c>
      <c r="P213" s="205">
        <f t="shared" si="23"/>
        <v>115</v>
      </c>
    </row>
    <row r="214" spans="1:18" ht="16.5" hidden="1" thickBot="1">
      <c r="A214">
        <v>4</v>
      </c>
      <c r="C214" s="156">
        <v>0.4</v>
      </c>
      <c r="D214" s="157">
        <v>58</v>
      </c>
      <c r="E214" s="160">
        <f t="shared" si="18"/>
        <v>87</v>
      </c>
      <c r="F214" s="175">
        <f t="shared" si="19"/>
        <v>130</v>
      </c>
      <c r="G214" s="176">
        <v>130</v>
      </c>
      <c r="H214" s="206">
        <v>170</v>
      </c>
      <c r="I214" s="207">
        <v>120</v>
      </c>
      <c r="J214" s="208">
        <v>100</v>
      </c>
      <c r="K214" s="204">
        <v>60</v>
      </c>
      <c r="L214" s="19">
        <v>320</v>
      </c>
      <c r="M214" s="205">
        <f t="shared" si="20"/>
        <v>130</v>
      </c>
      <c r="N214" s="205">
        <f t="shared" si="21"/>
        <v>130</v>
      </c>
      <c r="O214" s="205">
        <f t="shared" si="22"/>
        <v>130</v>
      </c>
      <c r="P214" s="205">
        <f t="shared" si="23"/>
        <v>130</v>
      </c>
      <c r="R214" s="187">
        <f>LOOKUP(F243,C210:C221,F210:F221)</f>
        <v>430</v>
      </c>
    </row>
    <row r="215" spans="1:16" ht="16.5" hidden="1" thickBot="1">
      <c r="A215">
        <v>4</v>
      </c>
      <c r="C215" s="156">
        <v>0.5</v>
      </c>
      <c r="D215" s="157">
        <v>68</v>
      </c>
      <c r="E215" s="160">
        <f t="shared" si="18"/>
        <v>102</v>
      </c>
      <c r="F215" s="175">
        <f t="shared" si="19"/>
        <v>150</v>
      </c>
      <c r="G215" s="176">
        <v>150</v>
      </c>
      <c r="H215" s="206">
        <v>170</v>
      </c>
      <c r="I215" s="178">
        <v>120</v>
      </c>
      <c r="J215" s="208">
        <v>100</v>
      </c>
      <c r="K215" s="204">
        <v>60</v>
      </c>
      <c r="L215" s="19">
        <v>355</v>
      </c>
      <c r="M215" s="205">
        <f t="shared" si="20"/>
        <v>150</v>
      </c>
      <c r="N215" s="205">
        <f t="shared" si="21"/>
        <v>150</v>
      </c>
      <c r="O215" s="205">
        <f t="shared" si="22"/>
        <v>150</v>
      </c>
      <c r="P215" s="205">
        <f t="shared" si="23"/>
        <v>150</v>
      </c>
    </row>
    <row r="216" spans="1:16" ht="16.5" hidden="1" thickBot="1">
      <c r="A216">
        <v>4</v>
      </c>
      <c r="C216" s="156">
        <v>0.6</v>
      </c>
      <c r="D216" s="157">
        <v>74</v>
      </c>
      <c r="E216" s="160">
        <f t="shared" si="18"/>
        <v>111</v>
      </c>
      <c r="F216" s="175">
        <f t="shared" si="19"/>
        <v>180</v>
      </c>
      <c r="G216" s="176">
        <v>180</v>
      </c>
      <c r="H216" s="206">
        <v>180</v>
      </c>
      <c r="I216" s="178">
        <v>123</v>
      </c>
      <c r="J216" s="208">
        <v>110</v>
      </c>
      <c r="K216" s="204">
        <v>80</v>
      </c>
      <c r="L216" s="19">
        <v>370</v>
      </c>
      <c r="M216" s="205">
        <f t="shared" si="20"/>
        <v>180</v>
      </c>
      <c r="N216" s="205">
        <f t="shared" si="21"/>
        <v>180</v>
      </c>
      <c r="O216" s="205">
        <f t="shared" si="22"/>
        <v>180</v>
      </c>
      <c r="P216" s="205">
        <f t="shared" si="23"/>
        <v>180</v>
      </c>
    </row>
    <row r="217" spans="1:16" ht="16.5" hidden="1" thickBot="1">
      <c r="A217">
        <v>4</v>
      </c>
      <c r="C217" s="156">
        <v>0.7</v>
      </c>
      <c r="D217" s="157">
        <v>74</v>
      </c>
      <c r="E217" s="160">
        <f t="shared" si="18"/>
        <v>111</v>
      </c>
      <c r="F217" s="175">
        <f t="shared" si="19"/>
        <v>205</v>
      </c>
      <c r="G217" s="176">
        <v>205</v>
      </c>
      <c r="H217" s="206">
        <v>205</v>
      </c>
      <c r="I217" s="178">
        <v>150</v>
      </c>
      <c r="J217" s="208">
        <v>110</v>
      </c>
      <c r="K217" s="204">
        <v>80</v>
      </c>
      <c r="L217" s="19">
        <v>385</v>
      </c>
      <c r="M217" s="205">
        <f t="shared" si="20"/>
        <v>205</v>
      </c>
      <c r="N217" s="205">
        <f t="shared" si="21"/>
        <v>205</v>
      </c>
      <c r="O217" s="205">
        <f t="shared" si="22"/>
        <v>205</v>
      </c>
      <c r="P217" s="205">
        <f t="shared" si="23"/>
        <v>205</v>
      </c>
    </row>
    <row r="218" spans="1:16" ht="16.5" hidden="1" thickBot="1">
      <c r="A218">
        <v>4</v>
      </c>
      <c r="C218" s="156">
        <v>0.8</v>
      </c>
      <c r="D218" s="157">
        <v>80</v>
      </c>
      <c r="E218" s="160">
        <f t="shared" si="18"/>
        <v>120</v>
      </c>
      <c r="F218" s="175">
        <f t="shared" si="19"/>
        <v>265</v>
      </c>
      <c r="G218" s="176">
        <v>265</v>
      </c>
      <c r="H218" s="177">
        <v>315</v>
      </c>
      <c r="I218" s="178">
        <v>260</v>
      </c>
      <c r="J218" s="209">
        <v>200</v>
      </c>
      <c r="K218" s="19">
        <v>100</v>
      </c>
      <c r="L218" s="19">
        <v>395</v>
      </c>
      <c r="M218" s="205">
        <f t="shared" si="20"/>
        <v>265</v>
      </c>
      <c r="N218" s="205">
        <f t="shared" si="21"/>
        <v>265</v>
      </c>
      <c r="O218" s="205">
        <f t="shared" si="22"/>
        <v>265</v>
      </c>
      <c r="P218" s="205">
        <f t="shared" si="23"/>
        <v>265</v>
      </c>
    </row>
    <row r="219" spans="1:16" ht="16.5" hidden="1" thickBot="1">
      <c r="A219">
        <v>4</v>
      </c>
      <c r="C219" s="156">
        <v>1</v>
      </c>
      <c r="D219" s="157">
        <v>80</v>
      </c>
      <c r="E219" s="160">
        <f t="shared" si="18"/>
        <v>120</v>
      </c>
      <c r="F219" s="175">
        <f t="shared" si="19"/>
        <v>355</v>
      </c>
      <c r="G219" s="176">
        <v>355</v>
      </c>
      <c r="H219" s="177">
        <v>330</v>
      </c>
      <c r="I219" s="178">
        <v>250</v>
      </c>
      <c r="J219" s="209">
        <v>230</v>
      </c>
      <c r="K219" s="19">
        <v>100</v>
      </c>
      <c r="L219" s="19">
        <v>410</v>
      </c>
      <c r="M219" s="205">
        <f t="shared" si="20"/>
        <v>355</v>
      </c>
      <c r="N219" s="205">
        <f t="shared" si="21"/>
        <v>355</v>
      </c>
      <c r="O219" s="205">
        <f t="shared" si="22"/>
        <v>355</v>
      </c>
      <c r="P219" s="205">
        <f t="shared" si="23"/>
        <v>355</v>
      </c>
    </row>
    <row r="220" spans="1:16" ht="16.5" hidden="1" thickBot="1">
      <c r="A220">
        <v>4</v>
      </c>
      <c r="C220" s="156">
        <v>1.1</v>
      </c>
      <c r="D220" s="157">
        <v>84</v>
      </c>
      <c r="E220" s="160">
        <f t="shared" si="18"/>
        <v>126</v>
      </c>
      <c r="F220" s="175">
        <f t="shared" si="19"/>
        <v>415</v>
      </c>
      <c r="G220" s="176">
        <v>415</v>
      </c>
      <c r="H220" s="177">
        <v>350</v>
      </c>
      <c r="I220" s="178">
        <v>250</v>
      </c>
      <c r="J220" s="209">
        <v>240</v>
      </c>
      <c r="K220" s="19">
        <v>110</v>
      </c>
      <c r="L220" s="19">
        <v>425</v>
      </c>
      <c r="M220" s="205">
        <f t="shared" si="20"/>
        <v>415</v>
      </c>
      <c r="N220" s="205">
        <f t="shared" si="21"/>
        <v>415</v>
      </c>
      <c r="O220" s="205">
        <f t="shared" si="22"/>
        <v>415</v>
      </c>
      <c r="P220" s="205">
        <f t="shared" si="23"/>
        <v>415</v>
      </c>
    </row>
    <row r="221" spans="1:16" ht="16.5" hidden="1" thickBot="1">
      <c r="A221">
        <v>4</v>
      </c>
      <c r="C221" s="158">
        <v>1.2</v>
      </c>
      <c r="D221" s="159">
        <v>84</v>
      </c>
      <c r="E221" s="160">
        <f t="shared" si="18"/>
        <v>126</v>
      </c>
      <c r="F221" s="175">
        <f t="shared" si="19"/>
        <v>430</v>
      </c>
      <c r="G221" s="176">
        <v>430</v>
      </c>
      <c r="H221" s="177">
        <v>400</v>
      </c>
      <c r="I221" s="178">
        <v>255</v>
      </c>
      <c r="J221" s="209">
        <v>250</v>
      </c>
      <c r="K221" s="19">
        <v>110</v>
      </c>
      <c r="L221" s="19">
        <v>430</v>
      </c>
      <c r="M221" s="205">
        <f t="shared" si="20"/>
        <v>430</v>
      </c>
      <c r="N221" s="205">
        <f t="shared" si="21"/>
        <v>430</v>
      </c>
      <c r="O221" s="205">
        <f t="shared" si="22"/>
        <v>430</v>
      </c>
      <c r="P221" s="205">
        <f t="shared" si="23"/>
        <v>430</v>
      </c>
    </row>
    <row r="222" ht="12.75" hidden="1">
      <c r="A222">
        <v>4</v>
      </c>
    </row>
    <row r="223" spans="1:5" ht="12.75" hidden="1">
      <c r="A223">
        <v>4</v>
      </c>
      <c r="E223">
        <f>LOOKUP(F243,C210:C276,E210:E221)</f>
        <v>126</v>
      </c>
    </row>
    <row r="224" ht="12.75" hidden="1">
      <c r="A224">
        <v>4</v>
      </c>
    </row>
    <row r="225" ht="12.75" hidden="1">
      <c r="A225">
        <v>4</v>
      </c>
    </row>
    <row r="226" ht="12.75" hidden="1">
      <c r="A226">
        <v>4</v>
      </c>
    </row>
    <row r="227" ht="12.75" hidden="1">
      <c r="A227">
        <v>4</v>
      </c>
    </row>
    <row r="228" ht="12.75" hidden="1">
      <c r="A228">
        <v>4</v>
      </c>
    </row>
    <row r="229" spans="1:14" ht="20.25">
      <c r="A229">
        <v>4</v>
      </c>
      <c r="B229" s="2"/>
      <c r="C229" s="11"/>
      <c r="D229" s="11"/>
      <c r="E229" s="96" t="s">
        <v>456</v>
      </c>
      <c r="F229" s="11"/>
      <c r="G229" s="11"/>
      <c r="H229" s="11"/>
      <c r="I229" s="11"/>
      <c r="J229" s="11"/>
      <c r="K229" s="297"/>
      <c r="L229" s="260"/>
      <c r="M229" s="261"/>
      <c r="N229" s="261"/>
    </row>
    <row r="230" spans="1:14" ht="12.75">
      <c r="A230">
        <v>4</v>
      </c>
      <c r="B230" s="2"/>
      <c r="C230" s="2"/>
      <c r="D230" s="2"/>
      <c r="E230" s="2"/>
      <c r="F230" s="12"/>
      <c r="G230" s="12"/>
      <c r="H230" s="10"/>
      <c r="I230" s="12"/>
      <c r="J230" s="2"/>
      <c r="K230" s="297"/>
      <c r="L230" s="260"/>
      <c r="M230" s="261"/>
      <c r="N230" s="261"/>
    </row>
    <row r="231" spans="1:14" ht="12.75">
      <c r="A231">
        <v>4</v>
      </c>
      <c r="D231" s="49" t="s">
        <v>53</v>
      </c>
      <c r="E231" s="49" t="s">
        <v>357</v>
      </c>
      <c r="F231" s="49" t="s">
        <v>358</v>
      </c>
      <c r="G231" s="49" t="s">
        <v>359</v>
      </c>
      <c r="H231" s="49" t="s">
        <v>360</v>
      </c>
      <c r="I231" s="12"/>
      <c r="J231" s="2"/>
      <c r="K231" s="297"/>
      <c r="L231" s="260"/>
      <c r="M231" s="261"/>
      <c r="N231" s="261"/>
    </row>
    <row r="232" spans="1:14" ht="16.5" thickBot="1">
      <c r="A232">
        <v>4</v>
      </c>
      <c r="D232" s="139">
        <v>749</v>
      </c>
      <c r="E232" s="97">
        <f>LOOKUP(D232,[0]!numerocargo,[0]!puntosbasicoscargo)</f>
        <v>971</v>
      </c>
      <c r="F232" s="97">
        <f>LOOKUP(D232,[0]!numerocargo,[0]!tardifcargo)</f>
        <v>0</v>
      </c>
      <c r="G232" s="97">
        <f>LOOKUP(D232,[0]!numerocargo,[0]!proljorcargo)</f>
        <v>0</v>
      </c>
      <c r="H232" s="97">
        <f>LOOKUP(D232,[0]!numerocargo,[0]!jorcomcargo)</f>
        <v>0</v>
      </c>
      <c r="I232" s="12"/>
      <c r="J232" s="2"/>
      <c r="K232" s="297"/>
      <c r="L232" s="260"/>
      <c r="M232" s="261"/>
      <c r="N232" s="261"/>
    </row>
    <row r="233" spans="1:14" ht="13.5" thickBot="1">
      <c r="A233">
        <v>4</v>
      </c>
      <c r="D233" s="98" t="s">
        <v>54</v>
      </c>
      <c r="E233" s="99" t="str">
        <f>LOOKUP(D232,[0]!numerocargo,[0]!nombrecargo)</f>
        <v> MAESTRO DE GRADO</v>
      </c>
      <c r="F233" s="47"/>
      <c r="G233" s="47"/>
      <c r="H233" s="72"/>
      <c r="I233" s="12"/>
      <c r="J233" s="2"/>
      <c r="K233" s="297"/>
      <c r="L233" s="260"/>
      <c r="M233" s="261"/>
      <c r="N233" s="261"/>
    </row>
    <row r="234" spans="1:14" ht="13.5" thickBot="1">
      <c r="A234">
        <v>4</v>
      </c>
      <c r="D234" s="262"/>
      <c r="E234" s="10"/>
      <c r="F234" s="2"/>
      <c r="G234" s="2"/>
      <c r="H234" s="2"/>
      <c r="I234" s="166" t="s">
        <v>388</v>
      </c>
      <c r="J234" s="2"/>
      <c r="K234" s="298"/>
      <c r="L234" s="2"/>
      <c r="M234" s="11"/>
      <c r="N234" s="11"/>
    </row>
    <row r="235" spans="1:14" ht="19.5" thickBot="1" thickTop="1">
      <c r="A235">
        <v>4</v>
      </c>
      <c r="D235" s="263" t="s">
        <v>376</v>
      </c>
      <c r="E235" s="145"/>
      <c r="F235" s="145"/>
      <c r="G235" s="145"/>
      <c r="H235" s="264">
        <v>120</v>
      </c>
      <c r="I235" s="167">
        <f>H235/120</f>
        <v>1</v>
      </c>
      <c r="J235" s="2"/>
      <c r="K235" s="298"/>
      <c r="L235" s="2"/>
      <c r="M235" s="11"/>
      <c r="N235" s="11"/>
    </row>
    <row r="236" spans="1:14" ht="17.25" thickBot="1" thickTop="1">
      <c r="A236">
        <v>4</v>
      </c>
      <c r="B236" s="262"/>
      <c r="C236" s="10"/>
      <c r="D236" s="2"/>
      <c r="E236" s="2"/>
      <c r="F236" s="265"/>
      <c r="G236" s="12"/>
      <c r="H236" s="10"/>
      <c r="I236" s="12"/>
      <c r="J236" s="2"/>
      <c r="K236" s="298"/>
      <c r="L236" s="2"/>
      <c r="M236" s="11"/>
      <c r="N236" s="11"/>
    </row>
    <row r="237" spans="1:14" ht="17.25" thickBot="1" thickTop="1">
      <c r="A237">
        <v>4</v>
      </c>
      <c r="B237" s="262"/>
      <c r="D237" s="143" t="s">
        <v>390</v>
      </c>
      <c r="E237" s="170">
        <v>0.4</v>
      </c>
      <c r="F237" s="265"/>
      <c r="G237" s="12"/>
      <c r="H237" s="10"/>
      <c r="I237" s="12"/>
      <c r="J237" s="2"/>
      <c r="K237" s="298"/>
      <c r="L237" s="2"/>
      <c r="M237" s="11"/>
      <c r="N237" s="11"/>
    </row>
    <row r="238" spans="1:14" ht="14.25" thickBot="1" thickTop="1">
      <c r="A238">
        <v>4</v>
      </c>
      <c r="B238" s="262"/>
      <c r="C238" s="10"/>
      <c r="D238" s="2"/>
      <c r="E238" s="2"/>
      <c r="F238" s="2"/>
      <c r="G238" s="12"/>
      <c r="H238" s="10"/>
      <c r="I238" s="12"/>
      <c r="J238" s="2"/>
      <c r="K238" s="298"/>
      <c r="L238" s="2"/>
      <c r="M238" s="11"/>
      <c r="N238" s="11"/>
    </row>
    <row r="239" spans="1:14" ht="16.5" thickBot="1">
      <c r="A239">
        <v>4</v>
      </c>
      <c r="B239" s="262"/>
      <c r="C239" s="10"/>
      <c r="D239" s="100" t="s">
        <v>361</v>
      </c>
      <c r="E239" s="46"/>
      <c r="F239" s="101">
        <f>(valorcod038+(E232*0.2107+valorcod038)*2.2*0.07)*0.216</f>
        <v>28.252146340800003</v>
      </c>
      <c r="G239" s="168"/>
      <c r="H239" s="266"/>
      <c r="I239" s="2"/>
      <c r="J239" s="2"/>
      <c r="K239" s="298"/>
      <c r="L239" s="2"/>
      <c r="M239" s="11"/>
      <c r="N239" s="11"/>
    </row>
    <row r="240" spans="1:14" ht="12.75">
      <c r="A240">
        <v>4</v>
      </c>
      <c r="B240" s="262"/>
      <c r="C240" s="10"/>
      <c r="D240" s="2"/>
      <c r="E240" s="2"/>
      <c r="F240" s="2"/>
      <c r="G240" s="2"/>
      <c r="H240" s="10"/>
      <c r="I240" s="2"/>
      <c r="J240" s="2"/>
      <c r="K240" s="298"/>
      <c r="L240" s="2"/>
      <c r="M240" s="11"/>
      <c r="N240" s="11"/>
    </row>
    <row r="241" spans="1:14" ht="13.5" thickBot="1">
      <c r="A241">
        <v>4</v>
      </c>
      <c r="B241" s="2"/>
      <c r="C241" s="11"/>
      <c r="D241" s="11"/>
      <c r="E241" s="11"/>
      <c r="F241" s="11"/>
      <c r="G241" s="11"/>
      <c r="H241" s="11"/>
      <c r="I241" s="11"/>
      <c r="J241" s="11"/>
      <c r="K241" s="299"/>
      <c r="L241" s="11"/>
      <c r="M241" s="11"/>
      <c r="N241" s="11"/>
    </row>
    <row r="242" spans="1:14" ht="16.5" thickBot="1">
      <c r="A242">
        <v>4</v>
      </c>
      <c r="B242" s="2"/>
      <c r="C242" s="11"/>
      <c r="D242" s="102" t="s">
        <v>15</v>
      </c>
      <c r="E242" s="47"/>
      <c r="F242" s="103">
        <f>E232*indicefeb07</f>
        <v>441.1253</v>
      </c>
      <c r="G242" s="11"/>
      <c r="H242" s="11"/>
      <c r="I242" s="11"/>
      <c r="J242" s="104"/>
      <c r="K242" s="300"/>
      <c r="L242" s="11"/>
      <c r="M242" s="11"/>
      <c r="N242" s="11"/>
    </row>
    <row r="243" spans="1:14" ht="16.5" thickBot="1">
      <c r="A243">
        <v>4</v>
      </c>
      <c r="B243" s="2"/>
      <c r="C243" s="11"/>
      <c r="D243" s="102" t="s">
        <v>16</v>
      </c>
      <c r="E243" s="47"/>
      <c r="F243" s="142">
        <v>1.2</v>
      </c>
      <c r="G243" s="11" t="s">
        <v>17</v>
      </c>
      <c r="H243" s="11"/>
      <c r="I243" s="11"/>
      <c r="J243" s="11"/>
      <c r="K243" s="300"/>
      <c r="L243" s="11"/>
      <c r="M243" s="11"/>
      <c r="N243" s="11"/>
    </row>
    <row r="244" spans="1:14" ht="15.75">
      <c r="A244">
        <v>4</v>
      </c>
      <c r="B244" s="2"/>
      <c r="C244" s="11"/>
      <c r="D244" s="298"/>
      <c r="E244" s="298"/>
      <c r="F244" s="301"/>
      <c r="G244" s="299"/>
      <c r="H244" s="299"/>
      <c r="I244" s="299"/>
      <c r="J244" s="299"/>
      <c r="K244" s="302"/>
      <c r="L244" s="11"/>
      <c r="M244" s="11"/>
      <c r="N244" s="11"/>
    </row>
    <row r="245" spans="1:14" ht="18.75" hidden="1" thickBot="1">
      <c r="A245">
        <v>4</v>
      </c>
      <c r="B245" s="2"/>
      <c r="C245" s="11"/>
      <c r="D245" s="106" t="s">
        <v>18</v>
      </c>
      <c r="E245" s="106"/>
      <c r="F245" s="107">
        <f>E232</f>
        <v>971</v>
      </c>
      <c r="G245" s="11" t="s">
        <v>19</v>
      </c>
      <c r="H245" s="11"/>
      <c r="I245" s="104">
        <f>H232</f>
        <v>0</v>
      </c>
      <c r="J245" s="2"/>
      <c r="K245" s="11"/>
      <c r="L245" s="11"/>
      <c r="M245" s="11"/>
      <c r="N245" s="11"/>
    </row>
    <row r="246" spans="1:14" ht="15.75" hidden="1">
      <c r="A246">
        <v>4</v>
      </c>
      <c r="B246" s="2"/>
      <c r="C246" s="11"/>
      <c r="D246" s="2"/>
      <c r="E246" s="2"/>
      <c r="F246" s="270"/>
      <c r="G246" s="11"/>
      <c r="H246" s="11"/>
      <c r="I246" s="2"/>
      <c r="J246" s="108"/>
      <c r="K246" s="11"/>
      <c r="L246" s="11"/>
      <c r="M246" s="11"/>
      <c r="N246" s="11"/>
    </row>
    <row r="247" spans="1:14" ht="12.75" hidden="1">
      <c r="A247">
        <v>4</v>
      </c>
      <c r="B247" s="2"/>
      <c r="C247" s="11"/>
      <c r="D247" s="11"/>
      <c r="E247" s="11"/>
      <c r="F247" s="11"/>
      <c r="G247" s="11"/>
      <c r="H247" s="271">
        <f>1+F243</f>
        <v>2.2</v>
      </c>
      <c r="I247" s="11"/>
      <c r="J247" s="11"/>
      <c r="K247" s="11"/>
      <c r="L247" s="11"/>
      <c r="M247" s="11"/>
      <c r="N247" s="11"/>
    </row>
    <row r="248" spans="1:8" ht="12.75" hidden="1">
      <c r="A248">
        <v>4</v>
      </c>
      <c r="B248" s="2"/>
      <c r="C248" s="11"/>
      <c r="D248" s="19">
        <v>400</v>
      </c>
      <c r="E248" s="19" t="s">
        <v>20</v>
      </c>
      <c r="F248" s="109">
        <f>punbasjubvarios4*indicefeb07*0.82*frac4</f>
        <v>361.722746</v>
      </c>
      <c r="G248" s="11"/>
      <c r="H248" s="11"/>
    </row>
    <row r="249" spans="1:8" ht="12.75" hidden="1">
      <c r="A249">
        <v>4</v>
      </c>
      <c r="B249" s="2"/>
      <c r="C249" s="11"/>
      <c r="D249" s="19">
        <v>404</v>
      </c>
      <c r="E249" s="19" t="s">
        <v>364</v>
      </c>
      <c r="F249" s="109">
        <f>F232*indicefeb07*0.82*frac4</f>
        <v>0</v>
      </c>
      <c r="G249" s="11"/>
      <c r="H249" s="11"/>
    </row>
    <row r="250" spans="1:8" ht="12.75" hidden="1">
      <c r="A250">
        <v>4</v>
      </c>
      <c r="B250" s="2"/>
      <c r="C250" s="11"/>
      <c r="D250" s="19">
        <v>406</v>
      </c>
      <c r="E250" s="19" t="s">
        <v>21</v>
      </c>
      <c r="F250" s="109">
        <f>(F248+F254+F249+F252+F257)*F243</f>
        <v>434.06729519999993</v>
      </c>
      <c r="G250" s="11"/>
      <c r="H250" s="11"/>
    </row>
    <row r="251" spans="1:8" ht="12.75" hidden="1">
      <c r="A251">
        <v>4</v>
      </c>
      <c r="B251" s="2"/>
      <c r="C251" s="11"/>
      <c r="D251" s="19">
        <v>408</v>
      </c>
      <c r="E251" s="19" t="s">
        <v>389</v>
      </c>
      <c r="F251" s="109">
        <f>(F248+F252+F254+F257)*E237</f>
        <v>144.6890984</v>
      </c>
      <c r="G251" s="11"/>
      <c r="H251" s="11"/>
    </row>
    <row r="252" spans="1:8" ht="12.75" hidden="1">
      <c r="A252">
        <v>4</v>
      </c>
      <c r="B252" s="2"/>
      <c r="C252" s="11"/>
      <c r="D252" s="19">
        <v>416</v>
      </c>
      <c r="E252" s="110" t="s">
        <v>365</v>
      </c>
      <c r="F252" s="109">
        <f>(G232+H232)*proljorfeb07*0.82*frac4</f>
        <v>0</v>
      </c>
      <c r="G252" s="11"/>
      <c r="H252" s="11"/>
    </row>
    <row r="253" spans="1:8" ht="12.75" hidden="1">
      <c r="A253">
        <v>4</v>
      </c>
      <c r="B253" s="2"/>
      <c r="C253" s="15"/>
      <c r="D253" s="19">
        <v>432</v>
      </c>
      <c r="E253" s="19" t="s">
        <v>387</v>
      </c>
      <c r="F253" s="16">
        <f>cod06feb07varios4*0.82*frac4</f>
        <v>352.59999999999997</v>
      </c>
      <c r="G253" s="11"/>
      <c r="H253" s="11"/>
    </row>
    <row r="254" spans="1:8" ht="12.75" hidden="1">
      <c r="A254">
        <v>4</v>
      </c>
      <c r="B254" s="2"/>
      <c r="C254" s="15"/>
      <c r="D254" s="19">
        <v>542</v>
      </c>
      <c r="E254" s="19" t="s">
        <v>449</v>
      </c>
      <c r="F254" s="109">
        <f>cod38feb07*0.82*frac4</f>
        <v>0</v>
      </c>
      <c r="G254" s="11"/>
      <c r="H254" s="11"/>
    </row>
    <row r="255" spans="1:8" ht="12.75" hidden="1">
      <c r="A255">
        <v>4</v>
      </c>
      <c r="B255" s="2"/>
      <c r="C255" s="15"/>
      <c r="D255" s="19">
        <v>434</v>
      </c>
      <c r="E255" s="19" t="s">
        <v>362</v>
      </c>
      <c r="F255" s="109">
        <f>(F248+F249+F250+F252+F253+F254+F251+F257+F258)*0.07*0.95</f>
        <v>85.9897627834</v>
      </c>
      <c r="G255" s="11"/>
      <c r="H255" s="11"/>
    </row>
    <row r="256" spans="1:8" ht="12.75" hidden="1">
      <c r="A256">
        <v>4</v>
      </c>
      <c r="B256" s="2"/>
      <c r="C256" s="15"/>
      <c r="D256" s="19">
        <v>438</v>
      </c>
      <c r="E256" s="19" t="s">
        <v>363</v>
      </c>
      <c r="F256" s="109">
        <f>F239*0.82*frac4</f>
        <v>23.166759999456</v>
      </c>
      <c r="G256" s="11"/>
      <c r="H256" s="11"/>
    </row>
    <row r="257" spans="1:8" ht="12.75" hidden="1">
      <c r="A257">
        <v>4</v>
      </c>
      <c r="B257" s="2"/>
      <c r="C257" s="15"/>
      <c r="D257" s="19">
        <v>437</v>
      </c>
      <c r="E257" s="111" t="s">
        <v>450</v>
      </c>
      <c r="F257" s="272">
        <f>cod022feb07*0.82*frac4</f>
        <v>0</v>
      </c>
      <c r="G257" s="11"/>
      <c r="H257" s="11"/>
    </row>
    <row r="258" spans="1:8" ht="12.75" hidden="1">
      <c r="A258">
        <v>4</v>
      </c>
      <c r="B258" s="2"/>
      <c r="C258" s="15"/>
      <c r="D258" s="19">
        <v>439</v>
      </c>
      <c r="E258" s="111" t="s">
        <v>451</v>
      </c>
      <c r="F258" s="272">
        <v>0</v>
      </c>
      <c r="G258" s="11"/>
      <c r="H258" s="11"/>
    </row>
    <row r="259" spans="1:8" ht="15.75" hidden="1">
      <c r="A259">
        <v>4</v>
      </c>
      <c r="B259" s="2"/>
      <c r="C259" s="15"/>
      <c r="D259" s="19">
        <v>417</v>
      </c>
      <c r="E259" s="111" t="s">
        <v>452</v>
      </c>
      <c r="F259" s="272">
        <v>0</v>
      </c>
      <c r="G259" s="273" t="s">
        <v>453</v>
      </c>
      <c r="H259" s="11"/>
    </row>
    <row r="260" spans="1:8" ht="13.5" hidden="1" thickBot="1">
      <c r="A260">
        <v>4</v>
      </c>
      <c r="B260" s="2"/>
      <c r="C260" s="15"/>
      <c r="D260" s="19"/>
      <c r="E260" s="111" t="s">
        <v>385</v>
      </c>
      <c r="F260" s="140">
        <v>0</v>
      </c>
      <c r="G260" s="11"/>
      <c r="H260" s="11"/>
    </row>
    <row r="261" spans="1:8" ht="16.5" hidden="1" thickBot="1">
      <c r="A261">
        <v>4</v>
      </c>
      <c r="B261" s="2"/>
      <c r="C261" s="15"/>
      <c r="D261" s="112"/>
      <c r="E261" s="113" t="s">
        <v>22</v>
      </c>
      <c r="F261" s="114">
        <f>SUM(F248:F260)</f>
        <v>1402.235662382856</v>
      </c>
      <c r="G261" s="11"/>
      <c r="H261" s="11"/>
    </row>
    <row r="262" spans="1:8" ht="12.75" hidden="1">
      <c r="A262">
        <v>4</v>
      </c>
      <c r="B262" s="2"/>
      <c r="C262" s="15"/>
      <c r="D262" s="19">
        <v>703</v>
      </c>
      <c r="E262" s="115" t="s">
        <v>366</v>
      </c>
      <c r="F262" s="116">
        <f>(F261-F260)*0.0025</f>
        <v>3.5055891559571397</v>
      </c>
      <c r="G262" s="11"/>
      <c r="H262" s="11"/>
    </row>
    <row r="263" spans="1:8" ht="12.75" hidden="1">
      <c r="A263">
        <v>4</v>
      </c>
      <c r="B263" s="2"/>
      <c r="C263" s="11"/>
      <c r="D263" s="20">
        <v>707</v>
      </c>
      <c r="E263" s="117" t="s">
        <v>24</v>
      </c>
      <c r="F263" s="18">
        <f>(F261-F260)*0.03</f>
        <v>42.06706987148568</v>
      </c>
      <c r="G263" s="11"/>
      <c r="H263" s="11"/>
    </row>
    <row r="264" spans="1:8" ht="12.75" hidden="1">
      <c r="A264">
        <v>4</v>
      </c>
      <c r="B264" s="2"/>
      <c r="C264" s="274"/>
      <c r="D264" s="20">
        <v>709</v>
      </c>
      <c r="E264" s="117" t="s">
        <v>25</v>
      </c>
      <c r="F264" s="18">
        <f>(F261-F260)*0.0213</f>
        <v>29.86761960875483</v>
      </c>
      <c r="G264" s="11"/>
      <c r="H264" s="11"/>
    </row>
    <row r="265" spans="1:8" ht="12.75" hidden="1">
      <c r="A265">
        <v>4</v>
      </c>
      <c r="B265" s="2"/>
      <c r="C265" s="274"/>
      <c r="D265" s="17">
        <v>710</v>
      </c>
      <c r="E265" s="117" t="s">
        <v>26</v>
      </c>
      <c r="F265" s="18">
        <f>(F261-F260)*0.00754</f>
        <v>10.572856894366733</v>
      </c>
      <c r="G265" s="11"/>
      <c r="H265" s="11"/>
    </row>
    <row r="266" spans="1:8" ht="12.75" hidden="1">
      <c r="A266">
        <v>4</v>
      </c>
      <c r="B266" s="2"/>
      <c r="C266" s="274"/>
      <c r="D266" s="17">
        <v>713</v>
      </c>
      <c r="E266" s="117" t="s">
        <v>27</v>
      </c>
      <c r="F266" s="18">
        <f>(F261-F260)*0.007</f>
        <v>9.815649636679991</v>
      </c>
      <c r="G266" s="11"/>
      <c r="H266" s="11"/>
    </row>
    <row r="267" spans="1:8" ht="13.5" hidden="1" thickBot="1">
      <c r="A267">
        <v>4</v>
      </c>
      <c r="B267" s="2"/>
      <c r="C267" s="275"/>
      <c r="D267" s="17"/>
      <c r="E267" s="118" t="s">
        <v>28</v>
      </c>
      <c r="F267" s="56">
        <v>0</v>
      </c>
      <c r="G267" s="11"/>
      <c r="H267" s="11"/>
    </row>
    <row r="268" spans="1:8" ht="16.5" hidden="1" thickBot="1">
      <c r="A268">
        <v>4</v>
      </c>
      <c r="B268" s="2"/>
      <c r="C268" s="15"/>
      <c r="D268" s="119"/>
      <c r="E268" s="113" t="s">
        <v>29</v>
      </c>
      <c r="F268" s="114">
        <f>SUM(F262:F267)</f>
        <v>95.82878516724438</v>
      </c>
      <c r="G268" s="11"/>
      <c r="H268" s="11"/>
    </row>
    <row r="269" spans="1:8" ht="13.5" hidden="1" thickBot="1">
      <c r="A269">
        <v>4</v>
      </c>
      <c r="B269" s="2"/>
      <c r="C269" s="15"/>
      <c r="D269" s="120"/>
      <c r="E269" s="121"/>
      <c r="F269" s="122"/>
      <c r="G269" s="11"/>
      <c r="H269" s="11"/>
    </row>
    <row r="270" spans="1:8" ht="16.5" hidden="1" thickBot="1">
      <c r="A270">
        <v>4</v>
      </c>
      <c r="B270" s="11"/>
      <c r="C270" s="11"/>
      <c r="D270" s="123"/>
      <c r="E270" s="124" t="s">
        <v>30</v>
      </c>
      <c r="F270" s="125">
        <f>F261-F268</f>
        <v>1306.4068772156115</v>
      </c>
      <c r="G270" s="11"/>
      <c r="H270" s="11"/>
    </row>
    <row r="271" spans="1:14" ht="15.75">
      <c r="A271">
        <v>4</v>
      </c>
      <c r="B271" s="126"/>
      <c r="C271" s="278"/>
      <c r="D271" s="279"/>
      <c r="E271" s="280"/>
      <c r="F271" s="126"/>
      <c r="G271" s="278"/>
      <c r="H271" s="281"/>
      <c r="I271" s="282"/>
      <c r="J271" s="11"/>
      <c r="K271" s="85"/>
      <c r="L271" s="12"/>
      <c r="M271" s="11"/>
      <c r="N271" s="11"/>
    </row>
    <row r="272" spans="1:14" ht="12.75">
      <c r="A272">
        <v>4</v>
      </c>
      <c r="B272" s="11"/>
      <c r="C272" s="11"/>
      <c r="D272" s="11"/>
      <c r="E272" s="11"/>
      <c r="F272" s="11"/>
      <c r="G272" s="11"/>
      <c r="H272" s="11"/>
      <c r="I272" s="11"/>
      <c r="J272" s="15"/>
      <c r="K272" s="12"/>
      <c r="L272" s="127"/>
      <c r="M272" s="11"/>
      <c r="N272" s="11"/>
    </row>
    <row r="273" spans="2:14" ht="23.25">
      <c r="B273" s="11"/>
      <c r="C273" s="11"/>
      <c r="E273" s="11"/>
      <c r="F273" s="11"/>
      <c r="G273" s="303" t="s">
        <v>457</v>
      </c>
      <c r="H273" s="11"/>
      <c r="I273" s="11"/>
      <c r="J273" s="15"/>
      <c r="K273" s="12"/>
      <c r="L273" s="127"/>
      <c r="M273" s="11"/>
      <c r="N273" s="11"/>
    </row>
    <row r="274" spans="2:14" ht="13.5" thickBot="1">
      <c r="B274" s="11"/>
      <c r="C274" s="11"/>
      <c r="D274" s="11"/>
      <c r="E274" s="11"/>
      <c r="F274" s="11"/>
      <c r="G274" s="11"/>
      <c r="H274" s="11"/>
      <c r="I274" s="11"/>
      <c r="J274" s="15"/>
      <c r="K274" s="12"/>
      <c r="L274" s="127"/>
      <c r="M274" s="11"/>
      <c r="N274" s="11"/>
    </row>
    <row r="275" spans="6:10" ht="21" thickBot="1">
      <c r="F275" s="304" t="s">
        <v>458</v>
      </c>
      <c r="G275" s="305"/>
      <c r="H275" s="306"/>
      <c r="I275" s="307">
        <f>H31+H99+H167+H235</f>
        <v>480</v>
      </c>
      <c r="J275" s="308" t="s">
        <v>459</v>
      </c>
    </row>
    <row r="277" spans="2:8" ht="12.75">
      <c r="B277" s="2"/>
      <c r="C277" s="11"/>
      <c r="D277" s="19">
        <v>400</v>
      </c>
      <c r="E277" s="19" t="s">
        <v>20</v>
      </c>
      <c r="F277" s="109">
        <f aca="true" t="shared" si="24" ref="F277:F289">F42+F112+F180+F248</f>
        <v>1446.890984</v>
      </c>
      <c r="G277" s="11"/>
      <c r="H277" s="11"/>
    </row>
    <row r="278" spans="2:8" ht="12.75">
      <c r="B278" s="2"/>
      <c r="C278" s="11"/>
      <c r="D278" s="19">
        <v>404</v>
      </c>
      <c r="E278" s="19" t="s">
        <v>364</v>
      </c>
      <c r="F278" s="109">
        <f t="shared" si="24"/>
        <v>0</v>
      </c>
      <c r="G278" s="11"/>
      <c r="H278" s="11"/>
    </row>
    <row r="279" spans="2:8" ht="12.75">
      <c r="B279" s="2"/>
      <c r="C279" s="11"/>
      <c r="D279" s="19">
        <v>406</v>
      </c>
      <c r="E279" s="19" t="s">
        <v>21</v>
      </c>
      <c r="F279" s="109">
        <f t="shared" si="24"/>
        <v>1736.2691807999997</v>
      </c>
      <c r="G279" s="11"/>
      <c r="H279" s="11"/>
    </row>
    <row r="280" spans="2:8" ht="12.75">
      <c r="B280" s="2"/>
      <c r="C280" s="11"/>
      <c r="D280" s="19">
        <v>408</v>
      </c>
      <c r="E280" s="19" t="s">
        <v>389</v>
      </c>
      <c r="F280" s="109">
        <f t="shared" si="24"/>
        <v>144.6890984</v>
      </c>
      <c r="G280" s="11"/>
      <c r="H280" s="11"/>
    </row>
    <row r="281" spans="2:8" ht="12.75">
      <c r="B281" s="2"/>
      <c r="C281" s="11"/>
      <c r="D281" s="19">
        <v>416</v>
      </c>
      <c r="E281" s="110" t="s">
        <v>365</v>
      </c>
      <c r="F281" s="109">
        <f t="shared" si="24"/>
        <v>0</v>
      </c>
      <c r="G281" s="11"/>
      <c r="H281" s="11"/>
    </row>
    <row r="282" spans="2:8" ht="12.75">
      <c r="B282" s="2"/>
      <c r="C282" s="15"/>
      <c r="D282" s="19">
        <v>432</v>
      </c>
      <c r="E282" s="19" t="s">
        <v>387</v>
      </c>
      <c r="F282" s="109">
        <f t="shared" si="24"/>
        <v>1410.3999999999999</v>
      </c>
      <c r="G282" s="11"/>
      <c r="H282" s="11"/>
    </row>
    <row r="283" spans="2:8" ht="12.75">
      <c r="B283" s="2"/>
      <c r="C283" s="15"/>
      <c r="D283" s="19">
        <v>542</v>
      </c>
      <c r="E283" s="19" t="s">
        <v>449</v>
      </c>
      <c r="F283" s="109">
        <f t="shared" si="24"/>
        <v>0</v>
      </c>
      <c r="G283" s="11"/>
      <c r="H283" s="11"/>
    </row>
    <row r="284" spans="2:8" ht="12.75">
      <c r="B284" s="2"/>
      <c r="C284" s="15"/>
      <c r="D284" s="19">
        <v>434</v>
      </c>
      <c r="E284" s="19" t="s">
        <v>362</v>
      </c>
      <c r="F284" s="109">
        <f t="shared" si="24"/>
        <v>315.0935760028</v>
      </c>
      <c r="G284" s="11"/>
      <c r="H284" s="11"/>
    </row>
    <row r="285" spans="2:8" ht="12.75">
      <c r="B285" s="2"/>
      <c r="C285" s="15"/>
      <c r="D285" s="19">
        <v>438</v>
      </c>
      <c r="E285" s="19" t="s">
        <v>363</v>
      </c>
      <c r="F285" s="109">
        <f t="shared" si="24"/>
        <v>92.667039997824</v>
      </c>
      <c r="G285" s="11"/>
      <c r="H285" s="11"/>
    </row>
    <row r="286" spans="2:8" ht="12.75">
      <c r="B286" s="2"/>
      <c r="C286" s="15"/>
      <c r="D286" s="19">
        <v>437</v>
      </c>
      <c r="E286" s="111" t="s">
        <v>450</v>
      </c>
      <c r="F286" s="109">
        <f t="shared" si="24"/>
        <v>0</v>
      </c>
      <c r="G286" s="11"/>
      <c r="H286" s="11"/>
    </row>
    <row r="287" spans="2:8" ht="12.75">
      <c r="B287" s="2"/>
      <c r="C287" s="15"/>
      <c r="D287" s="19">
        <v>439</v>
      </c>
      <c r="E287" s="111" t="s">
        <v>451</v>
      </c>
      <c r="F287" s="109">
        <f t="shared" si="24"/>
        <v>0</v>
      </c>
      <c r="G287" s="11"/>
      <c r="H287" s="11"/>
    </row>
    <row r="288" spans="2:8" ht="15.75">
      <c r="B288" s="2"/>
      <c r="C288" s="15"/>
      <c r="D288" s="19">
        <v>417</v>
      </c>
      <c r="E288" s="111" t="s">
        <v>452</v>
      </c>
      <c r="F288" s="109">
        <f t="shared" si="24"/>
        <v>0</v>
      </c>
      <c r="G288" s="273" t="s">
        <v>453</v>
      </c>
      <c r="H288" s="11"/>
    </row>
    <row r="289" spans="2:8" ht="13.5" thickBot="1">
      <c r="B289" s="2"/>
      <c r="C289" s="15"/>
      <c r="D289" s="19"/>
      <c r="E289" s="111" t="s">
        <v>385</v>
      </c>
      <c r="F289" s="109">
        <f t="shared" si="24"/>
        <v>0</v>
      </c>
      <c r="G289" s="11"/>
      <c r="H289" s="11"/>
    </row>
    <row r="290" spans="2:8" ht="13.5" thickBot="1">
      <c r="B290" s="2"/>
      <c r="C290" s="15"/>
      <c r="D290" s="112"/>
      <c r="E290" s="113" t="s">
        <v>22</v>
      </c>
      <c r="F290" s="109">
        <f>SUM(F277:F289)</f>
        <v>5146.009879200623</v>
      </c>
      <c r="G290" s="11"/>
      <c r="H290" s="11"/>
    </row>
    <row r="291" spans="2:8" ht="12.75">
      <c r="B291" s="2"/>
      <c r="C291" s="15"/>
      <c r="D291" s="19">
        <v>703</v>
      </c>
      <c r="E291" s="115" t="s">
        <v>366</v>
      </c>
      <c r="F291" s="109">
        <f aca="true" t="shared" si="25" ref="F291:F299">F56+F126+F194+F262</f>
        <v>12.865024698001559</v>
      </c>
      <c r="G291" s="11"/>
      <c r="H291" s="11"/>
    </row>
    <row r="292" spans="2:8" ht="12.75">
      <c r="B292" s="2"/>
      <c r="C292" s="11"/>
      <c r="D292" s="20">
        <v>707</v>
      </c>
      <c r="E292" s="117" t="s">
        <v>24</v>
      </c>
      <c r="F292" s="109">
        <f t="shared" si="25"/>
        <v>154.3802963760187</v>
      </c>
      <c r="G292" s="11"/>
      <c r="H292" s="11"/>
    </row>
    <row r="293" spans="2:8" ht="12.75">
      <c r="B293" s="2"/>
      <c r="C293" s="274"/>
      <c r="D293" s="20">
        <v>709</v>
      </c>
      <c r="E293" s="117" t="s">
        <v>25</v>
      </c>
      <c r="F293" s="109">
        <f t="shared" si="25"/>
        <v>109.61001042697328</v>
      </c>
      <c r="G293" s="11"/>
      <c r="H293" s="11"/>
    </row>
    <row r="294" spans="2:8" ht="12.75">
      <c r="B294" s="2"/>
      <c r="C294" s="274"/>
      <c r="D294" s="17">
        <v>710</v>
      </c>
      <c r="E294" s="117" t="s">
        <v>26</v>
      </c>
      <c r="F294" s="109">
        <f t="shared" si="25"/>
        <v>38.8009144891727</v>
      </c>
      <c r="G294" s="11"/>
      <c r="H294" s="11"/>
    </row>
    <row r="295" spans="2:8" ht="12.75">
      <c r="B295" s="2"/>
      <c r="C295" s="274"/>
      <c r="D295" s="17">
        <v>713</v>
      </c>
      <c r="E295" s="117" t="s">
        <v>27</v>
      </c>
      <c r="F295" s="109">
        <f t="shared" si="25"/>
        <v>36.02206915440436</v>
      </c>
      <c r="G295" s="11"/>
      <c r="H295" s="11"/>
    </row>
    <row r="296" spans="2:8" ht="13.5" thickBot="1">
      <c r="B296" s="2"/>
      <c r="C296" s="275"/>
      <c r="D296" s="17"/>
      <c r="E296" s="118" t="s">
        <v>28</v>
      </c>
      <c r="F296" s="109">
        <f t="shared" si="25"/>
        <v>0</v>
      </c>
      <c r="G296" s="11"/>
      <c r="H296" s="11"/>
    </row>
    <row r="297" spans="2:8" ht="13.5" thickBot="1">
      <c r="B297" s="2"/>
      <c r="C297" s="15"/>
      <c r="D297" s="119"/>
      <c r="E297" s="113" t="s">
        <v>29</v>
      </c>
      <c r="F297" s="109">
        <f t="shared" si="25"/>
        <v>351.67831514457055</v>
      </c>
      <c r="G297" s="11"/>
      <c r="H297" s="11"/>
    </row>
    <row r="298" spans="2:8" ht="13.5" thickBot="1">
      <c r="B298" s="2"/>
      <c r="C298" s="15"/>
      <c r="D298" s="120"/>
      <c r="E298" s="121"/>
      <c r="F298" s="109">
        <f t="shared" si="25"/>
        <v>0</v>
      </c>
      <c r="G298" s="11"/>
      <c r="H298" s="11"/>
    </row>
    <row r="299" spans="2:8" ht="13.5" thickBot="1">
      <c r="B299" s="11"/>
      <c r="C299" s="11"/>
      <c r="D299" s="123"/>
      <c r="E299" s="124" t="s">
        <v>30</v>
      </c>
      <c r="F299" s="109">
        <f t="shared" si="25"/>
        <v>4794.331564056053</v>
      </c>
      <c r="G299" s="11"/>
      <c r="H299" s="11"/>
    </row>
    <row r="300" spans="2:14" ht="15.75">
      <c r="B300" s="126"/>
      <c r="C300" s="278"/>
      <c r="D300" s="279"/>
      <c r="E300" s="280"/>
      <c r="F300" s="126"/>
      <c r="G300" s="278"/>
      <c r="H300" s="281"/>
      <c r="I300" s="282"/>
      <c r="J300" s="11"/>
      <c r="K300" s="85"/>
      <c r="L300" s="12"/>
      <c r="M300" s="11"/>
      <c r="N300" s="11"/>
    </row>
    <row r="302" ht="13.5" thickBot="1"/>
    <row r="303" spans="4:6" ht="13.5" thickTop="1">
      <c r="D303" s="309" t="s">
        <v>12</v>
      </c>
      <c r="E303" s="310"/>
      <c r="F303" s="90"/>
    </row>
    <row r="304" spans="4:6" ht="12.75">
      <c r="D304" s="311" t="s">
        <v>13</v>
      </c>
      <c r="E304" s="312"/>
      <c r="F304" s="59"/>
    </row>
    <row r="305" spans="4:6" ht="12.75">
      <c r="D305" s="311" t="s">
        <v>14</v>
      </c>
      <c r="E305" s="312"/>
      <c r="F305" s="59"/>
    </row>
    <row r="306" spans="4:6" ht="12.75">
      <c r="D306" s="311" t="s">
        <v>383</v>
      </c>
      <c r="E306" s="312"/>
      <c r="F306" s="59"/>
    </row>
    <row r="307" spans="4:6" ht="12.75">
      <c r="D307" s="313" t="s">
        <v>442</v>
      </c>
      <c r="E307" s="312"/>
      <c r="F307" s="59"/>
    </row>
    <row r="308" spans="4:6" ht="12.75">
      <c r="D308" s="314" t="s">
        <v>384</v>
      </c>
      <c r="E308" s="312"/>
      <c r="F308" s="59"/>
    </row>
    <row r="309" spans="4:6" ht="13.5" thickBot="1">
      <c r="D309" s="315" t="s">
        <v>440</v>
      </c>
      <c r="E309" s="316"/>
      <c r="F309" s="317"/>
    </row>
    <row r="310" ht="13.5" thickTop="1"/>
  </sheetData>
  <sheetProtection password="DDBB" sheet="1" objects="1" scenarios="1"/>
  <hyperlinks>
    <hyperlink ref="D308" r:id="rId1" display="www.agmeruruguay.com.ar"/>
    <hyperlink ref="D309" r:id="rId2" display="www.celestecompromiso.com.ar"/>
    <hyperlink ref="D307" r:id="rId3" display="victorhutt@victorhutt.com.ar"/>
  </hyperlinks>
  <printOptions/>
  <pageMargins left="0.75" right="0.75" top="1" bottom="1" header="0" footer="0"/>
  <pageSetup orientation="portrait" paperSize="9" r:id="rId6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4"/>
  <sheetViews>
    <sheetView workbookViewId="0" topLeftCell="A1">
      <selection activeCell="B6" sqref="B6"/>
    </sheetView>
  </sheetViews>
  <sheetFormatPr defaultColWidth="11.421875" defaultRowHeight="12.75"/>
  <cols>
    <col min="2" max="2" width="41.140625" style="0" customWidth="1"/>
    <col min="4" max="4" width="14.00390625" style="0" customWidth="1"/>
  </cols>
  <sheetData>
    <row r="1" spans="1:7" ht="13.5" thickBot="1">
      <c r="A1" s="21"/>
      <c r="B1" s="22" t="s">
        <v>49</v>
      </c>
      <c r="C1" s="23">
        <v>0.3141</v>
      </c>
      <c r="D1" s="24"/>
      <c r="E1" s="24" t="s">
        <v>50</v>
      </c>
      <c r="F1" s="25" t="s">
        <v>51</v>
      </c>
      <c r="G1" s="25" t="s">
        <v>52</v>
      </c>
    </row>
    <row r="2" spans="1:7" ht="12.75">
      <c r="A2" s="26" t="s">
        <v>53</v>
      </c>
      <c r="B2" s="27" t="s">
        <v>54</v>
      </c>
      <c r="C2" s="26" t="s">
        <v>55</v>
      </c>
      <c r="D2" s="28"/>
      <c r="E2" s="29" t="s">
        <v>56</v>
      </c>
      <c r="F2" s="29" t="s">
        <v>57</v>
      </c>
      <c r="G2" s="29" t="s">
        <v>58</v>
      </c>
    </row>
    <row r="3" spans="1:7" ht="12.75">
      <c r="A3" s="30">
        <v>600</v>
      </c>
      <c r="B3" s="31" t="s">
        <v>59</v>
      </c>
      <c r="C3" s="30">
        <v>1300</v>
      </c>
      <c r="D3" s="32"/>
      <c r="E3" s="33">
        <v>0</v>
      </c>
      <c r="F3" s="30">
        <v>0</v>
      </c>
      <c r="G3" s="30">
        <v>0</v>
      </c>
    </row>
    <row r="4" spans="1:7" ht="12.75">
      <c r="A4" s="30">
        <v>603</v>
      </c>
      <c r="B4" s="31" t="s">
        <v>60</v>
      </c>
      <c r="C4" s="30">
        <v>3146</v>
      </c>
      <c r="D4" s="32"/>
      <c r="E4" s="33">
        <v>0</v>
      </c>
      <c r="F4" s="30">
        <v>0</v>
      </c>
      <c r="G4" s="30">
        <v>0</v>
      </c>
    </row>
    <row r="5" spans="1:7" ht="12.75">
      <c r="A5" s="30">
        <v>604</v>
      </c>
      <c r="B5" s="31" t="s">
        <v>61</v>
      </c>
      <c r="C5" s="30">
        <v>3146</v>
      </c>
      <c r="D5" s="32"/>
      <c r="E5" s="33">
        <v>0</v>
      </c>
      <c r="F5" s="30">
        <v>0</v>
      </c>
      <c r="G5" s="30">
        <v>0</v>
      </c>
    </row>
    <row r="6" spans="1:7" ht="12.75">
      <c r="A6" s="30">
        <v>605</v>
      </c>
      <c r="B6" s="31" t="s">
        <v>62</v>
      </c>
      <c r="C6" s="30">
        <v>2913</v>
      </c>
      <c r="D6" s="32"/>
      <c r="E6" s="33">
        <v>0</v>
      </c>
      <c r="F6" s="30">
        <v>0</v>
      </c>
      <c r="G6" s="30">
        <v>0</v>
      </c>
    </row>
    <row r="7" spans="1:7" ht="12.75">
      <c r="A7" s="30">
        <v>606</v>
      </c>
      <c r="B7" s="31" t="s">
        <v>63</v>
      </c>
      <c r="C7" s="30">
        <v>2913</v>
      </c>
      <c r="D7" s="32"/>
      <c r="E7" s="33">
        <v>0</v>
      </c>
      <c r="F7" s="30">
        <v>0</v>
      </c>
      <c r="G7" s="30">
        <v>0</v>
      </c>
    </row>
    <row r="8" spans="1:7" ht="12.75">
      <c r="A8" s="30">
        <v>608</v>
      </c>
      <c r="B8" s="31" t="s">
        <v>64</v>
      </c>
      <c r="C8" s="30">
        <v>2913</v>
      </c>
      <c r="D8" s="32"/>
      <c r="E8" s="33">
        <v>0</v>
      </c>
      <c r="F8" s="30">
        <v>0</v>
      </c>
      <c r="G8" s="30">
        <v>0</v>
      </c>
    </row>
    <row r="9" spans="1:7" ht="12.75">
      <c r="A9" s="30">
        <v>609</v>
      </c>
      <c r="B9" s="31" t="s">
        <v>65</v>
      </c>
      <c r="C9" s="30">
        <v>2000</v>
      </c>
      <c r="D9" s="32"/>
      <c r="E9" s="33">
        <v>0</v>
      </c>
      <c r="F9" s="30">
        <v>0</v>
      </c>
      <c r="G9" s="30">
        <v>0</v>
      </c>
    </row>
    <row r="10" spans="1:7" ht="12.75">
      <c r="A10" s="30">
        <v>611</v>
      </c>
      <c r="B10" s="31" t="s">
        <v>66</v>
      </c>
      <c r="C10" s="30">
        <v>1840</v>
      </c>
      <c r="D10" s="32"/>
      <c r="E10" s="33">
        <v>0</v>
      </c>
      <c r="F10" s="30">
        <v>0</v>
      </c>
      <c r="G10" s="30">
        <v>0</v>
      </c>
    </row>
    <row r="11" spans="1:7" ht="12.75">
      <c r="A11" s="30">
        <v>612</v>
      </c>
      <c r="B11" s="31" t="s">
        <v>67</v>
      </c>
      <c r="C11" s="30">
        <v>1690</v>
      </c>
      <c r="D11" s="32"/>
      <c r="E11" s="33">
        <v>0</v>
      </c>
      <c r="F11" s="30">
        <v>0</v>
      </c>
      <c r="G11" s="30">
        <v>0</v>
      </c>
    </row>
    <row r="12" spans="1:7" ht="12.75">
      <c r="A12" s="30">
        <v>613</v>
      </c>
      <c r="B12" s="31" t="s">
        <v>68</v>
      </c>
      <c r="C12" s="30">
        <v>1680</v>
      </c>
      <c r="D12" s="32"/>
      <c r="E12" s="33">
        <v>0</v>
      </c>
      <c r="F12" s="30">
        <v>0</v>
      </c>
      <c r="G12" s="30">
        <v>0</v>
      </c>
    </row>
    <row r="13" spans="1:7" ht="12.75">
      <c r="A13" s="30">
        <v>614</v>
      </c>
      <c r="B13" s="31" t="s">
        <v>69</v>
      </c>
      <c r="C13" s="30">
        <v>1740</v>
      </c>
      <c r="D13" s="32"/>
      <c r="E13" s="33">
        <v>0</v>
      </c>
      <c r="F13" s="30">
        <v>0</v>
      </c>
      <c r="G13" s="30">
        <v>0</v>
      </c>
    </row>
    <row r="14" spans="1:7" ht="12.75">
      <c r="A14" s="30">
        <v>615</v>
      </c>
      <c r="B14" s="31" t="s">
        <v>70</v>
      </c>
      <c r="C14" s="30">
        <v>1610</v>
      </c>
      <c r="D14" s="32"/>
      <c r="E14" s="33">
        <v>0</v>
      </c>
      <c r="F14" s="30">
        <v>0</v>
      </c>
      <c r="G14" s="30">
        <v>0</v>
      </c>
    </row>
    <row r="15" spans="1:7" ht="12.75">
      <c r="A15" s="30">
        <v>616</v>
      </c>
      <c r="B15" s="31" t="s">
        <v>71</v>
      </c>
      <c r="C15" s="30">
        <v>1740</v>
      </c>
      <c r="D15" s="32"/>
      <c r="E15" s="33">
        <v>0</v>
      </c>
      <c r="F15" s="30">
        <v>0</v>
      </c>
      <c r="G15" s="30">
        <v>0</v>
      </c>
    </row>
    <row r="16" spans="1:7" ht="12.75">
      <c r="A16" s="30">
        <v>617</v>
      </c>
      <c r="B16" s="31" t="s">
        <v>72</v>
      </c>
      <c r="C16" s="30">
        <v>1610</v>
      </c>
      <c r="D16" s="32"/>
      <c r="E16" s="33">
        <v>0</v>
      </c>
      <c r="F16" s="30">
        <v>0</v>
      </c>
      <c r="G16" s="30">
        <v>0</v>
      </c>
    </row>
    <row r="17" spans="1:7" ht="12.75">
      <c r="A17" s="30">
        <v>618</v>
      </c>
      <c r="B17" s="31" t="s">
        <v>73</v>
      </c>
      <c r="C17" s="30">
        <v>1500</v>
      </c>
      <c r="D17" s="32"/>
      <c r="E17" s="33">
        <v>0</v>
      </c>
      <c r="F17" s="30">
        <v>0</v>
      </c>
      <c r="G17" s="30">
        <v>0</v>
      </c>
    </row>
    <row r="18" spans="1:7" ht="12.75">
      <c r="A18" s="30">
        <v>619</v>
      </c>
      <c r="B18" s="31" t="s">
        <v>74</v>
      </c>
      <c r="C18" s="30">
        <v>1320</v>
      </c>
      <c r="D18" s="32"/>
      <c r="E18" s="33">
        <v>0</v>
      </c>
      <c r="F18" s="30">
        <v>0</v>
      </c>
      <c r="G18" s="30">
        <v>0</v>
      </c>
    </row>
    <row r="19" spans="1:7" ht="12.75">
      <c r="A19" s="30">
        <v>620</v>
      </c>
      <c r="B19" s="31" t="s">
        <v>75</v>
      </c>
      <c r="C19" s="30">
        <v>1550</v>
      </c>
      <c r="D19" s="32"/>
      <c r="E19" s="33">
        <v>0</v>
      </c>
      <c r="F19" s="30">
        <v>0</v>
      </c>
      <c r="G19" s="30">
        <v>0</v>
      </c>
    </row>
    <row r="20" spans="1:7" ht="12.75">
      <c r="A20" s="30">
        <v>621</v>
      </c>
      <c r="B20" s="31" t="s">
        <v>76</v>
      </c>
      <c r="C20" s="30">
        <v>1340</v>
      </c>
      <c r="D20" s="32"/>
      <c r="E20" s="33">
        <v>0</v>
      </c>
      <c r="F20" s="30">
        <v>0</v>
      </c>
      <c r="G20" s="30">
        <v>0</v>
      </c>
    </row>
    <row r="21" spans="1:7" ht="12.75">
      <c r="A21" s="30">
        <v>622</v>
      </c>
      <c r="B21" s="31" t="s">
        <v>77</v>
      </c>
      <c r="C21" s="30">
        <v>971</v>
      </c>
      <c r="D21" s="32"/>
      <c r="E21" s="33">
        <v>0</v>
      </c>
      <c r="F21" s="30">
        <v>0</v>
      </c>
      <c r="G21" s="30">
        <v>0</v>
      </c>
    </row>
    <row r="22" spans="1:7" ht="12.75">
      <c r="A22" s="30">
        <v>623</v>
      </c>
      <c r="B22" s="31" t="s">
        <v>78</v>
      </c>
      <c r="C22" s="30">
        <v>1690</v>
      </c>
      <c r="D22" s="32"/>
      <c r="E22" s="33">
        <v>0</v>
      </c>
      <c r="F22" s="30">
        <v>0</v>
      </c>
      <c r="G22" s="30">
        <v>0</v>
      </c>
    </row>
    <row r="23" spans="1:7" ht="12.75">
      <c r="A23" s="30">
        <v>624</v>
      </c>
      <c r="B23" s="31" t="s">
        <v>79</v>
      </c>
      <c r="C23" s="30">
        <v>1400</v>
      </c>
      <c r="D23" s="32"/>
      <c r="E23" s="33">
        <v>0</v>
      </c>
      <c r="F23" s="30">
        <v>0</v>
      </c>
      <c r="G23" s="30">
        <v>0</v>
      </c>
    </row>
    <row r="24" spans="1:7" ht="12.75">
      <c r="A24" s="30">
        <v>625</v>
      </c>
      <c r="B24" s="31" t="s">
        <v>80</v>
      </c>
      <c r="C24" s="30">
        <v>1370</v>
      </c>
      <c r="D24" s="32"/>
      <c r="E24" s="33">
        <v>0</v>
      </c>
      <c r="F24" s="30">
        <v>0</v>
      </c>
      <c r="G24" s="30">
        <v>0</v>
      </c>
    </row>
    <row r="25" spans="1:7" ht="12.75">
      <c r="A25" s="30">
        <v>626</v>
      </c>
      <c r="B25" s="31" t="s">
        <v>81</v>
      </c>
      <c r="C25" s="30">
        <v>1340</v>
      </c>
      <c r="D25" s="32"/>
      <c r="E25" s="33">
        <v>0</v>
      </c>
      <c r="F25" s="30">
        <v>0</v>
      </c>
      <c r="G25" s="30">
        <v>0</v>
      </c>
    </row>
    <row r="26" spans="1:7" ht="12.75">
      <c r="A26" s="30">
        <v>627</v>
      </c>
      <c r="B26" s="31" t="s">
        <v>82</v>
      </c>
      <c r="C26" s="30">
        <v>1300</v>
      </c>
      <c r="D26" s="32"/>
      <c r="E26" s="33">
        <v>0</v>
      </c>
      <c r="F26" s="30">
        <v>0</v>
      </c>
      <c r="G26" s="30">
        <v>0</v>
      </c>
    </row>
    <row r="27" spans="1:7" ht="12.75">
      <c r="A27" s="30">
        <v>628</v>
      </c>
      <c r="B27" s="31" t="s">
        <v>83</v>
      </c>
      <c r="C27" s="30">
        <v>980</v>
      </c>
      <c r="D27" s="32"/>
      <c r="E27" s="33">
        <v>0</v>
      </c>
      <c r="F27" s="30">
        <v>0</v>
      </c>
      <c r="G27" s="30">
        <v>0</v>
      </c>
    </row>
    <row r="28" spans="1:7" ht="12.75">
      <c r="A28" s="30">
        <v>629</v>
      </c>
      <c r="B28" s="31" t="s">
        <v>84</v>
      </c>
      <c r="C28" s="30">
        <v>941</v>
      </c>
      <c r="D28" s="32"/>
      <c r="E28" s="33">
        <v>0</v>
      </c>
      <c r="F28" s="30">
        <v>0</v>
      </c>
      <c r="G28" s="30">
        <v>0</v>
      </c>
    </row>
    <row r="29" spans="1:7" ht="12.75">
      <c r="A29" s="30">
        <v>630</v>
      </c>
      <c r="B29" s="31" t="s">
        <v>85</v>
      </c>
      <c r="C29" s="30">
        <v>1170</v>
      </c>
      <c r="D29" s="32"/>
      <c r="E29" s="33">
        <v>0</v>
      </c>
      <c r="F29" s="30">
        <v>0</v>
      </c>
      <c r="G29" s="30">
        <v>0</v>
      </c>
    </row>
    <row r="30" spans="1:7" ht="12.75">
      <c r="A30" s="30">
        <v>631</v>
      </c>
      <c r="B30" s="31" t="s">
        <v>86</v>
      </c>
      <c r="C30" s="30">
        <v>1170</v>
      </c>
      <c r="D30" s="32"/>
      <c r="E30" s="33">
        <v>0</v>
      </c>
      <c r="F30" s="30">
        <v>0</v>
      </c>
      <c r="G30" s="30">
        <v>0</v>
      </c>
    </row>
    <row r="31" spans="1:7" ht="12.75">
      <c r="A31" s="30">
        <v>632</v>
      </c>
      <c r="B31" s="31" t="s">
        <v>87</v>
      </c>
      <c r="C31" s="30">
        <v>941</v>
      </c>
      <c r="D31" s="32"/>
      <c r="E31" s="33">
        <v>0</v>
      </c>
      <c r="F31" s="30">
        <v>0</v>
      </c>
      <c r="G31" s="30">
        <v>0</v>
      </c>
    </row>
    <row r="32" spans="1:7" ht="12.75">
      <c r="A32" s="30">
        <v>633</v>
      </c>
      <c r="B32" s="31" t="s">
        <v>88</v>
      </c>
      <c r="C32" s="30">
        <v>941</v>
      </c>
      <c r="D32" s="32"/>
      <c r="E32" s="33">
        <v>0</v>
      </c>
      <c r="F32" s="30">
        <v>0</v>
      </c>
      <c r="G32" s="30">
        <v>0</v>
      </c>
    </row>
    <row r="33" spans="1:7" ht="12.75">
      <c r="A33" s="30">
        <v>634</v>
      </c>
      <c r="B33" s="31" t="s">
        <v>89</v>
      </c>
      <c r="C33" s="30">
        <v>971</v>
      </c>
      <c r="D33" s="32"/>
      <c r="E33" s="33">
        <v>0</v>
      </c>
      <c r="F33" s="30">
        <v>0</v>
      </c>
      <c r="G33" s="30">
        <v>0</v>
      </c>
    </row>
    <row r="34" spans="1:7" ht="12.75">
      <c r="A34" s="30">
        <v>636</v>
      </c>
      <c r="B34" s="31" t="s">
        <v>90</v>
      </c>
      <c r="C34" s="30">
        <v>971</v>
      </c>
      <c r="D34" s="32"/>
      <c r="E34" s="33">
        <v>0</v>
      </c>
      <c r="F34" s="30">
        <v>0</v>
      </c>
      <c r="G34" s="30">
        <v>0</v>
      </c>
    </row>
    <row r="35" spans="1:7" ht="12.75">
      <c r="A35" s="30">
        <v>637</v>
      </c>
      <c r="B35" s="31" t="s">
        <v>91</v>
      </c>
      <c r="C35" s="30">
        <v>971</v>
      </c>
      <c r="D35" s="32"/>
      <c r="E35" s="33">
        <v>0</v>
      </c>
      <c r="F35" s="30">
        <v>0</v>
      </c>
      <c r="G35" s="30">
        <v>0</v>
      </c>
    </row>
    <row r="36" spans="1:7" ht="12.75">
      <c r="A36" s="30">
        <v>638</v>
      </c>
      <c r="B36" s="31" t="s">
        <v>92</v>
      </c>
      <c r="C36" s="30">
        <v>906</v>
      </c>
      <c r="D36" s="32"/>
      <c r="E36" s="33">
        <v>0</v>
      </c>
      <c r="F36" s="30">
        <v>0</v>
      </c>
      <c r="G36" s="30">
        <v>0</v>
      </c>
    </row>
    <row r="37" spans="1:7" ht="12.75">
      <c r="A37" s="30">
        <v>639</v>
      </c>
      <c r="B37" s="31" t="s">
        <v>93</v>
      </c>
      <c r="C37" s="30">
        <v>1300</v>
      </c>
      <c r="D37" s="32"/>
      <c r="E37" s="33">
        <v>0</v>
      </c>
      <c r="F37" s="30">
        <v>0</v>
      </c>
      <c r="G37" s="30">
        <v>0</v>
      </c>
    </row>
    <row r="38" spans="1:7" ht="12.75">
      <c r="A38" s="30">
        <v>640</v>
      </c>
      <c r="B38" s="31" t="s">
        <v>94</v>
      </c>
      <c r="C38" s="30">
        <v>2830</v>
      </c>
      <c r="D38" s="32"/>
      <c r="E38" s="33">
        <v>0</v>
      </c>
      <c r="F38" s="30">
        <v>0</v>
      </c>
      <c r="G38" s="30">
        <v>0</v>
      </c>
    </row>
    <row r="39" spans="1:7" ht="12.75">
      <c r="A39" s="30">
        <v>641</v>
      </c>
      <c r="B39" s="31" t="s">
        <v>95</v>
      </c>
      <c r="C39" s="30">
        <v>1550</v>
      </c>
      <c r="D39" s="32"/>
      <c r="E39" s="33">
        <v>0</v>
      </c>
      <c r="F39" s="30">
        <v>0</v>
      </c>
      <c r="G39" s="30">
        <v>0</v>
      </c>
    </row>
    <row r="40" spans="1:7" ht="12.75">
      <c r="A40" s="30">
        <v>642</v>
      </c>
      <c r="B40" s="31" t="s">
        <v>96</v>
      </c>
      <c r="C40" s="30">
        <v>1170</v>
      </c>
      <c r="D40" s="32"/>
      <c r="E40" s="33">
        <v>0</v>
      </c>
      <c r="F40" s="30">
        <v>0</v>
      </c>
      <c r="G40" s="30">
        <v>0</v>
      </c>
    </row>
    <row r="41" spans="1:7" ht="12.75">
      <c r="A41" s="30">
        <v>643</v>
      </c>
      <c r="B41" s="31" t="s">
        <v>97</v>
      </c>
      <c r="C41" s="30">
        <v>1500</v>
      </c>
      <c r="D41" s="32"/>
      <c r="E41" s="33">
        <v>0</v>
      </c>
      <c r="F41" s="30">
        <v>0</v>
      </c>
      <c r="G41" s="30">
        <v>0</v>
      </c>
    </row>
    <row r="42" spans="1:7" ht="12.75">
      <c r="A42" s="30">
        <v>644</v>
      </c>
      <c r="B42" s="31" t="s">
        <v>98</v>
      </c>
      <c r="C42" s="30">
        <v>2490</v>
      </c>
      <c r="D42" s="32"/>
      <c r="E42" s="33">
        <v>0</v>
      </c>
      <c r="F42" s="30">
        <v>0</v>
      </c>
      <c r="G42" s="30">
        <v>0</v>
      </c>
    </row>
    <row r="43" spans="1:7" ht="12.75">
      <c r="A43" s="30">
        <v>645</v>
      </c>
      <c r="B43" s="31" t="s">
        <v>99</v>
      </c>
      <c r="C43" s="30">
        <v>2329</v>
      </c>
      <c r="D43" s="32"/>
      <c r="E43" s="33">
        <v>0</v>
      </c>
      <c r="F43" s="30">
        <v>0</v>
      </c>
      <c r="G43" s="30">
        <v>0</v>
      </c>
    </row>
    <row r="44" spans="1:7" ht="12.75">
      <c r="A44" s="30">
        <v>646</v>
      </c>
      <c r="B44" s="31" t="s">
        <v>100</v>
      </c>
      <c r="C44" s="30">
        <v>906</v>
      </c>
      <c r="D44" s="32"/>
      <c r="E44" s="33">
        <v>0</v>
      </c>
      <c r="F44" s="30">
        <v>0</v>
      </c>
      <c r="G44" s="30">
        <v>0</v>
      </c>
    </row>
    <row r="45" spans="1:7" ht="12.75">
      <c r="A45" s="30">
        <v>647</v>
      </c>
      <c r="B45" s="31" t="s">
        <v>101</v>
      </c>
      <c r="C45" s="30">
        <v>1830</v>
      </c>
      <c r="D45" s="32"/>
      <c r="E45" s="33">
        <v>0</v>
      </c>
      <c r="F45" s="30">
        <v>0</v>
      </c>
      <c r="G45" s="30">
        <v>0</v>
      </c>
    </row>
    <row r="46" spans="1:7" ht="12.75">
      <c r="A46" s="30">
        <v>648</v>
      </c>
      <c r="B46" s="31" t="s">
        <v>102</v>
      </c>
      <c r="C46" s="30">
        <v>1740</v>
      </c>
      <c r="D46" s="32"/>
      <c r="E46" s="33">
        <v>0</v>
      </c>
      <c r="F46" s="30">
        <v>0</v>
      </c>
      <c r="G46" s="30">
        <v>0</v>
      </c>
    </row>
    <row r="47" spans="1:7" ht="12.75">
      <c r="A47" s="30">
        <v>649</v>
      </c>
      <c r="B47" s="31" t="s">
        <v>103</v>
      </c>
      <c r="C47" s="30">
        <v>971</v>
      </c>
      <c r="D47" s="32"/>
      <c r="E47" s="33">
        <v>0</v>
      </c>
      <c r="F47" s="30">
        <v>0</v>
      </c>
      <c r="G47" s="30">
        <v>0</v>
      </c>
    </row>
    <row r="48" spans="1:7" ht="12.75">
      <c r="A48" s="30">
        <v>650</v>
      </c>
      <c r="B48" s="31" t="s">
        <v>104</v>
      </c>
      <c r="C48" s="30">
        <v>1740</v>
      </c>
      <c r="D48" s="32"/>
      <c r="E48" s="33">
        <v>0</v>
      </c>
      <c r="F48" s="30">
        <v>750</v>
      </c>
      <c r="G48" s="30">
        <v>0</v>
      </c>
    </row>
    <row r="49" spans="1:7" ht="12.75">
      <c r="A49" s="30">
        <v>651</v>
      </c>
      <c r="B49" s="31" t="s">
        <v>105</v>
      </c>
      <c r="C49" s="30">
        <v>971</v>
      </c>
      <c r="D49" s="32"/>
      <c r="E49" s="33">
        <v>0</v>
      </c>
      <c r="F49" s="30">
        <v>0</v>
      </c>
      <c r="G49" s="30">
        <v>0</v>
      </c>
    </row>
    <row r="50" spans="1:7" ht="12.75">
      <c r="A50" s="30">
        <v>652</v>
      </c>
      <c r="B50" s="31" t="s">
        <v>106</v>
      </c>
      <c r="C50" s="30">
        <v>1250</v>
      </c>
      <c r="D50" s="32"/>
      <c r="E50" s="33">
        <v>0</v>
      </c>
      <c r="F50" s="30">
        <v>0</v>
      </c>
      <c r="G50" s="30">
        <v>0</v>
      </c>
    </row>
    <row r="51" spans="1:7" ht="12.75">
      <c r="A51" s="30">
        <v>653</v>
      </c>
      <c r="B51" s="31" t="s">
        <v>107</v>
      </c>
      <c r="C51" s="30">
        <v>1400</v>
      </c>
      <c r="D51" s="32"/>
      <c r="E51" s="33">
        <v>0</v>
      </c>
      <c r="F51" s="30">
        <v>100</v>
      </c>
      <c r="G51" s="30">
        <v>0</v>
      </c>
    </row>
    <row r="52" spans="1:7" ht="12.75">
      <c r="A52" s="30">
        <v>654</v>
      </c>
      <c r="B52" s="31" t="s">
        <v>108</v>
      </c>
      <c r="C52" s="30">
        <v>1690</v>
      </c>
      <c r="D52" s="32"/>
      <c r="E52" s="33">
        <v>0</v>
      </c>
      <c r="F52" s="30">
        <v>300</v>
      </c>
      <c r="G52" s="30">
        <v>0</v>
      </c>
    </row>
    <row r="53" spans="1:7" ht="12.75">
      <c r="A53" s="30">
        <v>655</v>
      </c>
      <c r="B53" s="31" t="s">
        <v>109</v>
      </c>
      <c r="C53" s="30">
        <v>1550</v>
      </c>
      <c r="D53" s="32"/>
      <c r="E53" s="33">
        <v>0</v>
      </c>
      <c r="F53" s="30">
        <v>200</v>
      </c>
      <c r="G53" s="30">
        <v>0</v>
      </c>
    </row>
    <row r="54" spans="1:7" ht="12.75">
      <c r="A54" s="30">
        <v>657</v>
      </c>
      <c r="B54" s="31" t="s">
        <v>110</v>
      </c>
      <c r="C54" s="30">
        <v>1340</v>
      </c>
      <c r="D54" s="32"/>
      <c r="E54" s="33">
        <v>0</v>
      </c>
      <c r="F54" s="30">
        <v>0</v>
      </c>
      <c r="G54" s="30">
        <v>0</v>
      </c>
    </row>
    <row r="55" spans="1:7" ht="12.75">
      <c r="A55" s="30">
        <v>658</v>
      </c>
      <c r="B55" s="31" t="s">
        <v>111</v>
      </c>
      <c r="C55" s="30">
        <v>1300</v>
      </c>
      <c r="D55" s="32"/>
      <c r="E55" s="33">
        <v>0</v>
      </c>
      <c r="F55" s="30">
        <v>0</v>
      </c>
      <c r="G55" s="30">
        <v>0</v>
      </c>
    </row>
    <row r="56" spans="1:7" ht="12.75">
      <c r="A56" s="30">
        <v>659</v>
      </c>
      <c r="B56" s="31" t="s">
        <v>112</v>
      </c>
      <c r="C56" s="30">
        <v>1340</v>
      </c>
      <c r="D56" s="32"/>
      <c r="E56" s="33">
        <v>0</v>
      </c>
      <c r="F56" s="30">
        <v>0</v>
      </c>
      <c r="G56" s="30">
        <v>0</v>
      </c>
    </row>
    <row r="57" spans="1:7" ht="12.75">
      <c r="A57" s="30">
        <v>660</v>
      </c>
      <c r="B57" s="31" t="s">
        <v>113</v>
      </c>
      <c r="C57" s="30">
        <v>1300</v>
      </c>
      <c r="D57" s="32"/>
      <c r="E57" s="33">
        <v>0</v>
      </c>
      <c r="F57" s="30">
        <v>0</v>
      </c>
      <c r="G57" s="30">
        <v>0</v>
      </c>
    </row>
    <row r="58" spans="1:7" ht="12.75">
      <c r="A58" s="30">
        <v>661</v>
      </c>
      <c r="B58" s="31" t="s">
        <v>114</v>
      </c>
      <c r="C58" s="30">
        <v>1300</v>
      </c>
      <c r="D58" s="32"/>
      <c r="E58" s="33">
        <v>0</v>
      </c>
      <c r="F58" s="30">
        <v>0</v>
      </c>
      <c r="G58" s="30">
        <v>0</v>
      </c>
    </row>
    <row r="59" spans="1:7" ht="12.75">
      <c r="A59" s="30">
        <v>662</v>
      </c>
      <c r="B59" s="31" t="s">
        <v>115</v>
      </c>
      <c r="C59" s="30">
        <v>1690</v>
      </c>
      <c r="D59" s="32"/>
      <c r="E59" s="33">
        <v>0</v>
      </c>
      <c r="F59" s="30">
        <v>708</v>
      </c>
      <c r="G59" s="30">
        <v>0</v>
      </c>
    </row>
    <row r="60" spans="1:7" ht="12.75">
      <c r="A60" s="30">
        <v>663</v>
      </c>
      <c r="B60" s="31" t="s">
        <v>116</v>
      </c>
      <c r="C60" s="30">
        <v>1500</v>
      </c>
      <c r="D60" s="32"/>
      <c r="E60" s="33">
        <v>0</v>
      </c>
      <c r="F60" s="30">
        <v>0</v>
      </c>
      <c r="G60" s="30">
        <v>0</v>
      </c>
    </row>
    <row r="61" spans="1:7" ht="12.75">
      <c r="A61" s="30">
        <v>664</v>
      </c>
      <c r="B61" s="31" t="s">
        <v>117</v>
      </c>
      <c r="C61" s="30">
        <v>971</v>
      </c>
      <c r="D61" s="32"/>
      <c r="E61" s="33">
        <v>0</v>
      </c>
      <c r="F61" s="30">
        <v>620</v>
      </c>
      <c r="G61" s="30">
        <v>0</v>
      </c>
    </row>
    <row r="62" spans="1:7" ht="12.75">
      <c r="A62" s="30">
        <v>667</v>
      </c>
      <c r="B62" s="31" t="s">
        <v>118</v>
      </c>
      <c r="C62" s="30">
        <v>2000</v>
      </c>
      <c r="D62" s="32"/>
      <c r="E62" s="33">
        <v>0</v>
      </c>
      <c r="F62" s="30">
        <v>830</v>
      </c>
      <c r="G62" s="30">
        <v>0</v>
      </c>
    </row>
    <row r="63" spans="1:7" ht="12.75">
      <c r="A63" s="30">
        <v>668</v>
      </c>
      <c r="B63" s="31" t="s">
        <v>119</v>
      </c>
      <c r="C63" s="30">
        <v>1840</v>
      </c>
      <c r="D63" s="32"/>
      <c r="E63" s="33">
        <v>0</v>
      </c>
      <c r="F63" s="30">
        <v>830</v>
      </c>
      <c r="G63" s="30">
        <v>0</v>
      </c>
    </row>
    <row r="64" spans="1:7" ht="12.75">
      <c r="A64" s="30">
        <v>669</v>
      </c>
      <c r="B64" s="31" t="s">
        <v>120</v>
      </c>
      <c r="C64" s="30">
        <v>1680</v>
      </c>
      <c r="D64" s="32"/>
      <c r="E64" s="33">
        <v>0</v>
      </c>
      <c r="F64" s="30">
        <v>830</v>
      </c>
      <c r="G64" s="30">
        <v>0</v>
      </c>
    </row>
    <row r="65" spans="1:7" ht="12.75">
      <c r="A65" s="30">
        <v>670</v>
      </c>
      <c r="B65" s="31" t="s">
        <v>121</v>
      </c>
      <c r="C65" s="30">
        <v>1740</v>
      </c>
      <c r="D65" s="32"/>
      <c r="E65" s="33">
        <v>0</v>
      </c>
      <c r="F65" s="30">
        <v>750</v>
      </c>
      <c r="G65" s="30">
        <v>0</v>
      </c>
    </row>
    <row r="66" spans="1:7" ht="12.75">
      <c r="A66" s="30">
        <v>671</v>
      </c>
      <c r="B66" s="31" t="s">
        <v>122</v>
      </c>
      <c r="C66" s="30">
        <v>1610</v>
      </c>
      <c r="D66" s="32"/>
      <c r="E66" s="33">
        <v>0</v>
      </c>
      <c r="F66" s="30">
        <v>750</v>
      </c>
      <c r="G66" s="30">
        <v>0</v>
      </c>
    </row>
    <row r="67" spans="1:7" ht="12.75">
      <c r="A67" s="30">
        <v>672</v>
      </c>
      <c r="B67" s="31" t="s">
        <v>123</v>
      </c>
      <c r="C67" s="30">
        <v>2000</v>
      </c>
      <c r="D67" s="32"/>
      <c r="E67" s="33">
        <v>0</v>
      </c>
      <c r="F67" s="30">
        <v>300</v>
      </c>
      <c r="G67" s="30">
        <v>0</v>
      </c>
    </row>
    <row r="68" spans="1:7" ht="12.75">
      <c r="A68" s="30">
        <v>673</v>
      </c>
      <c r="B68" s="31" t="s">
        <v>124</v>
      </c>
      <c r="C68" s="30">
        <v>1840</v>
      </c>
      <c r="D68" s="32"/>
      <c r="E68" s="33">
        <v>0</v>
      </c>
      <c r="F68" s="30">
        <v>300</v>
      </c>
      <c r="G68" s="30">
        <v>0</v>
      </c>
    </row>
    <row r="69" spans="1:7" ht="12.75">
      <c r="A69" s="30">
        <v>674</v>
      </c>
      <c r="B69" s="31" t="s">
        <v>125</v>
      </c>
      <c r="C69" s="30">
        <v>1680</v>
      </c>
      <c r="D69" s="32"/>
      <c r="E69" s="33">
        <v>0</v>
      </c>
      <c r="F69" s="30">
        <v>300</v>
      </c>
      <c r="G69" s="30">
        <v>0</v>
      </c>
    </row>
    <row r="70" spans="1:7" ht="12.75">
      <c r="A70" s="30">
        <v>675</v>
      </c>
      <c r="B70" s="31" t="s">
        <v>126</v>
      </c>
      <c r="C70" s="30">
        <v>1740</v>
      </c>
      <c r="D70" s="32"/>
      <c r="E70" s="33">
        <v>0</v>
      </c>
      <c r="F70" s="30">
        <v>725</v>
      </c>
      <c r="G70" s="30">
        <v>0</v>
      </c>
    </row>
    <row r="71" spans="1:7" ht="12.75">
      <c r="A71" s="30">
        <v>676</v>
      </c>
      <c r="B71" s="31" t="s">
        <v>127</v>
      </c>
      <c r="C71" s="30">
        <v>1610</v>
      </c>
      <c r="D71" s="32"/>
      <c r="E71" s="33">
        <v>0</v>
      </c>
      <c r="F71" s="30">
        <v>725</v>
      </c>
      <c r="G71" s="30">
        <v>0</v>
      </c>
    </row>
    <row r="72" spans="1:7" ht="12.75">
      <c r="A72" s="30">
        <v>677</v>
      </c>
      <c r="B72" s="31" t="s">
        <v>128</v>
      </c>
      <c r="C72" s="30">
        <v>1500</v>
      </c>
      <c r="D72" s="32"/>
      <c r="E72" s="33">
        <v>0</v>
      </c>
      <c r="F72" s="30">
        <v>725</v>
      </c>
      <c r="G72" s="30">
        <v>0</v>
      </c>
    </row>
    <row r="73" spans="1:7" ht="12.75">
      <c r="A73" s="30">
        <v>678</v>
      </c>
      <c r="B73" s="31" t="s">
        <v>129</v>
      </c>
      <c r="C73" s="30">
        <v>1320</v>
      </c>
      <c r="D73" s="32"/>
      <c r="E73" s="33">
        <v>0</v>
      </c>
      <c r="F73" s="30">
        <v>590</v>
      </c>
      <c r="G73" s="30">
        <v>0</v>
      </c>
    </row>
    <row r="74" spans="1:7" ht="12.75">
      <c r="A74" s="30">
        <v>679</v>
      </c>
      <c r="B74" s="31" t="s">
        <v>130</v>
      </c>
      <c r="C74" s="30">
        <v>1690</v>
      </c>
      <c r="D74" s="32"/>
      <c r="E74" s="33">
        <v>0</v>
      </c>
      <c r="F74" s="30">
        <v>708</v>
      </c>
      <c r="G74" s="30">
        <v>0</v>
      </c>
    </row>
    <row r="75" spans="1:7" ht="12.75">
      <c r="A75" s="30">
        <v>680</v>
      </c>
      <c r="B75" s="31" t="s">
        <v>131</v>
      </c>
      <c r="C75" s="30">
        <v>1550</v>
      </c>
      <c r="D75" s="32"/>
      <c r="E75" s="33">
        <v>0</v>
      </c>
      <c r="F75" s="30">
        <v>708</v>
      </c>
      <c r="G75" s="30">
        <v>0</v>
      </c>
    </row>
    <row r="76" spans="1:7" ht="12.75">
      <c r="A76" s="30">
        <v>681</v>
      </c>
      <c r="B76" s="31" t="s">
        <v>132</v>
      </c>
      <c r="C76" s="30">
        <v>1400</v>
      </c>
      <c r="D76" s="32"/>
      <c r="E76" s="33">
        <v>0</v>
      </c>
      <c r="F76" s="30">
        <v>708</v>
      </c>
      <c r="G76" s="30">
        <v>0</v>
      </c>
    </row>
    <row r="77" spans="1:7" ht="12.75">
      <c r="A77" s="30">
        <v>682</v>
      </c>
      <c r="B77" s="34" t="s">
        <v>133</v>
      </c>
      <c r="C77" s="30">
        <v>1170</v>
      </c>
      <c r="D77" s="32"/>
      <c r="E77" s="33">
        <v>0</v>
      </c>
      <c r="F77" s="30">
        <v>580</v>
      </c>
      <c r="G77" s="30">
        <v>0</v>
      </c>
    </row>
    <row r="78" spans="1:7" ht="12.75">
      <c r="A78" s="30">
        <v>683</v>
      </c>
      <c r="B78" s="34" t="s">
        <v>134</v>
      </c>
      <c r="C78" s="30">
        <v>1170</v>
      </c>
      <c r="D78" s="32"/>
      <c r="E78" s="33">
        <v>0</v>
      </c>
      <c r="F78" s="30">
        <v>580</v>
      </c>
      <c r="G78" s="30">
        <v>0</v>
      </c>
    </row>
    <row r="79" spans="1:7" ht="12.75">
      <c r="A79" s="30">
        <v>684</v>
      </c>
      <c r="B79" s="31" t="s">
        <v>135</v>
      </c>
      <c r="C79" s="30">
        <v>1170</v>
      </c>
      <c r="D79" s="32"/>
      <c r="E79" s="33">
        <v>0</v>
      </c>
      <c r="F79" s="30">
        <v>580</v>
      </c>
      <c r="G79" s="30">
        <v>0</v>
      </c>
    </row>
    <row r="80" spans="1:7" ht="12.75">
      <c r="A80" s="30">
        <v>685</v>
      </c>
      <c r="B80" s="31" t="s">
        <v>136</v>
      </c>
      <c r="C80" s="30">
        <v>1500</v>
      </c>
      <c r="D80" s="32"/>
      <c r="E80" s="33">
        <v>0</v>
      </c>
      <c r="F80" s="30">
        <v>750</v>
      </c>
      <c r="G80" s="30">
        <v>0</v>
      </c>
    </row>
    <row r="81" spans="1:7" ht="12.75">
      <c r="A81" s="30">
        <v>686</v>
      </c>
      <c r="B81" s="31" t="s">
        <v>137</v>
      </c>
      <c r="C81" s="30">
        <v>2000</v>
      </c>
      <c r="D81" s="32"/>
      <c r="E81" s="33">
        <v>0</v>
      </c>
      <c r="F81" s="30">
        <v>600</v>
      </c>
      <c r="G81" s="30">
        <v>0</v>
      </c>
    </row>
    <row r="82" spans="1:7" ht="12.75">
      <c r="A82" s="30">
        <v>687</v>
      </c>
      <c r="B82" s="31" t="s">
        <v>138</v>
      </c>
      <c r="C82" s="30">
        <v>1840</v>
      </c>
      <c r="D82" s="32"/>
      <c r="E82" s="33">
        <v>0</v>
      </c>
      <c r="F82" s="30">
        <v>600</v>
      </c>
      <c r="G82" s="30">
        <v>0</v>
      </c>
    </row>
    <row r="83" spans="1:7" ht="12.75">
      <c r="A83" s="30">
        <v>688</v>
      </c>
      <c r="B83" s="31" t="s">
        <v>139</v>
      </c>
      <c r="C83" s="30">
        <v>1680</v>
      </c>
      <c r="D83" s="32"/>
      <c r="E83" s="33">
        <v>0</v>
      </c>
      <c r="F83" s="30">
        <v>600</v>
      </c>
      <c r="G83" s="30">
        <v>0</v>
      </c>
    </row>
    <row r="84" spans="1:7" ht="12.75">
      <c r="A84" s="30">
        <v>689</v>
      </c>
      <c r="B84" s="34" t="s">
        <v>140</v>
      </c>
      <c r="C84" s="30">
        <v>1170</v>
      </c>
      <c r="D84" s="32"/>
      <c r="E84" s="33">
        <v>0</v>
      </c>
      <c r="F84" s="30">
        <v>580</v>
      </c>
      <c r="G84" s="30">
        <v>0</v>
      </c>
    </row>
    <row r="85" spans="1:7" ht="12.75">
      <c r="A85" s="30">
        <v>691</v>
      </c>
      <c r="B85" s="31" t="s">
        <v>141</v>
      </c>
      <c r="C85" s="30">
        <v>1500</v>
      </c>
      <c r="D85" s="32"/>
      <c r="E85" s="33">
        <v>0</v>
      </c>
      <c r="F85" s="30">
        <v>750</v>
      </c>
      <c r="G85" s="30">
        <v>0</v>
      </c>
    </row>
    <row r="86" spans="1:7" ht="12.75">
      <c r="A86" s="30">
        <v>692</v>
      </c>
      <c r="B86" s="31" t="s">
        <v>142</v>
      </c>
      <c r="C86" s="30">
        <v>1690</v>
      </c>
      <c r="D86" s="32"/>
      <c r="E86" s="33">
        <v>0</v>
      </c>
      <c r="F86" s="30">
        <v>620</v>
      </c>
      <c r="G86" s="30">
        <v>0</v>
      </c>
    </row>
    <row r="87" spans="1:7" ht="12.75">
      <c r="A87" s="30">
        <v>693</v>
      </c>
      <c r="B87" s="31" t="s">
        <v>143</v>
      </c>
      <c r="C87" s="30">
        <v>1550</v>
      </c>
      <c r="D87" s="32"/>
      <c r="E87" s="33">
        <v>0</v>
      </c>
      <c r="F87" s="30">
        <v>620</v>
      </c>
      <c r="G87" s="30">
        <v>0</v>
      </c>
    </row>
    <row r="88" spans="1:7" ht="12.75">
      <c r="A88" s="30">
        <v>694</v>
      </c>
      <c r="B88" s="31" t="s">
        <v>144</v>
      </c>
      <c r="C88" s="30">
        <v>1400</v>
      </c>
      <c r="D88" s="32"/>
      <c r="E88" s="33">
        <v>0</v>
      </c>
      <c r="F88" s="30">
        <v>620</v>
      </c>
      <c r="G88" s="30">
        <v>0</v>
      </c>
    </row>
    <row r="89" spans="1:7" ht="12.75">
      <c r="A89" s="30">
        <v>695</v>
      </c>
      <c r="B89" s="31" t="s">
        <v>145</v>
      </c>
      <c r="C89" s="30">
        <v>906</v>
      </c>
      <c r="D89" s="32"/>
      <c r="E89" s="33">
        <v>0</v>
      </c>
      <c r="F89" s="30">
        <v>0</v>
      </c>
      <c r="G89" s="30">
        <v>0</v>
      </c>
    </row>
    <row r="90" spans="1:7" ht="12.75">
      <c r="A90" s="30">
        <v>696</v>
      </c>
      <c r="B90" s="31" t="s">
        <v>146</v>
      </c>
      <c r="C90" s="30">
        <v>1500</v>
      </c>
      <c r="D90" s="32"/>
      <c r="E90" s="33">
        <v>0</v>
      </c>
      <c r="F90" s="30">
        <v>0</v>
      </c>
      <c r="G90" s="30">
        <v>0</v>
      </c>
    </row>
    <row r="91" spans="1:7" ht="12.75">
      <c r="A91" s="30">
        <v>697</v>
      </c>
      <c r="B91" s="31" t="s">
        <v>147</v>
      </c>
      <c r="C91" s="30">
        <v>1500</v>
      </c>
      <c r="D91" s="32"/>
      <c r="E91" s="33">
        <v>0</v>
      </c>
      <c r="F91" s="30">
        <v>0</v>
      </c>
      <c r="G91" s="30">
        <v>0</v>
      </c>
    </row>
    <row r="92" spans="1:7" ht="12.75">
      <c r="A92" s="30">
        <v>698</v>
      </c>
      <c r="B92" s="31" t="s">
        <v>148</v>
      </c>
      <c r="C92" s="30">
        <v>1690</v>
      </c>
      <c r="D92" s="32"/>
      <c r="E92" s="33">
        <v>0</v>
      </c>
      <c r="F92" s="30">
        <v>0</v>
      </c>
      <c r="G92" s="30">
        <v>0</v>
      </c>
    </row>
    <row r="93" spans="1:7" ht="12.75">
      <c r="A93" s="30">
        <v>699</v>
      </c>
      <c r="B93" s="31" t="s">
        <v>149</v>
      </c>
      <c r="C93" s="30">
        <v>1550</v>
      </c>
      <c r="D93" s="32"/>
      <c r="E93" s="33">
        <v>0</v>
      </c>
      <c r="F93" s="30">
        <v>0</v>
      </c>
      <c r="G93" s="30">
        <v>0</v>
      </c>
    </row>
    <row r="94" spans="1:7" ht="12.75">
      <c r="A94" s="30">
        <v>702</v>
      </c>
      <c r="B94" s="31" t="s">
        <v>150</v>
      </c>
      <c r="C94" s="30">
        <v>971</v>
      </c>
      <c r="D94" s="32"/>
      <c r="E94" s="33">
        <v>0</v>
      </c>
      <c r="F94" s="30">
        <v>0</v>
      </c>
      <c r="G94" s="30">
        <v>0</v>
      </c>
    </row>
    <row r="95" spans="1:7" ht="12.75">
      <c r="A95" s="30">
        <v>703</v>
      </c>
      <c r="B95" s="31" t="s">
        <v>151</v>
      </c>
      <c r="C95" s="30">
        <v>3429</v>
      </c>
      <c r="D95" s="32"/>
      <c r="E95" s="33">
        <v>0</v>
      </c>
      <c r="F95" s="30">
        <v>0</v>
      </c>
      <c r="G95" s="30">
        <v>0</v>
      </c>
    </row>
    <row r="96" spans="1:7" ht="12.75">
      <c r="A96" s="30">
        <v>704</v>
      </c>
      <c r="B96" s="31" t="s">
        <v>152</v>
      </c>
      <c r="C96" s="30">
        <v>1500</v>
      </c>
      <c r="D96" s="32"/>
      <c r="E96" s="33">
        <v>0</v>
      </c>
      <c r="F96" s="30">
        <v>0</v>
      </c>
      <c r="G96" s="30">
        <v>0</v>
      </c>
    </row>
    <row r="97" spans="1:7" ht="12.75">
      <c r="A97" s="30">
        <v>705</v>
      </c>
      <c r="B97" s="31" t="s">
        <v>153</v>
      </c>
      <c r="C97" s="30">
        <v>1592</v>
      </c>
      <c r="D97" s="32"/>
      <c r="E97" s="33">
        <v>0</v>
      </c>
      <c r="F97" s="30">
        <v>0</v>
      </c>
      <c r="G97" s="30">
        <v>0</v>
      </c>
    </row>
    <row r="98" spans="1:7" ht="12.75">
      <c r="A98" s="30">
        <v>706</v>
      </c>
      <c r="B98" s="31" t="s">
        <v>154</v>
      </c>
      <c r="C98" s="30">
        <v>2482</v>
      </c>
      <c r="D98" s="32"/>
      <c r="E98" s="33">
        <v>0</v>
      </c>
      <c r="F98" s="30">
        <v>0</v>
      </c>
      <c r="G98" s="30">
        <v>0</v>
      </c>
    </row>
    <row r="99" spans="1:7" ht="12.75">
      <c r="A99" s="30">
        <v>708</v>
      </c>
      <c r="B99" s="31" t="s">
        <v>155</v>
      </c>
      <c r="C99" s="30">
        <v>3146</v>
      </c>
      <c r="D99" s="32"/>
      <c r="E99" s="33">
        <v>0</v>
      </c>
      <c r="F99" s="30">
        <v>0</v>
      </c>
      <c r="G99" s="30">
        <v>0</v>
      </c>
    </row>
    <row r="100" spans="1:7" ht="12.75">
      <c r="A100" s="30">
        <v>709</v>
      </c>
      <c r="B100" s="31" t="s">
        <v>156</v>
      </c>
      <c r="C100" s="30">
        <v>2913</v>
      </c>
      <c r="D100" s="32"/>
      <c r="E100" s="33">
        <v>0</v>
      </c>
      <c r="F100" s="30">
        <v>0</v>
      </c>
      <c r="G100" s="30">
        <v>0</v>
      </c>
    </row>
    <row r="101" spans="1:7" ht="12.75">
      <c r="A101" s="30">
        <v>710</v>
      </c>
      <c r="B101" s="31" t="s">
        <v>157</v>
      </c>
      <c r="C101" s="30">
        <v>2913</v>
      </c>
      <c r="D101" s="32"/>
      <c r="E101" s="33">
        <v>20</v>
      </c>
      <c r="F101" s="30">
        <v>0</v>
      </c>
      <c r="G101" s="30">
        <v>0</v>
      </c>
    </row>
    <row r="102" spans="1:7" ht="12.75">
      <c r="A102" s="30">
        <v>711</v>
      </c>
      <c r="B102" s="31" t="s">
        <v>158</v>
      </c>
      <c r="C102" s="30">
        <v>2913</v>
      </c>
      <c r="D102" s="32"/>
      <c r="E102" s="33">
        <v>0</v>
      </c>
      <c r="F102" s="30">
        <v>0</v>
      </c>
      <c r="G102" s="30">
        <v>0</v>
      </c>
    </row>
    <row r="103" spans="1:7" ht="12.75">
      <c r="A103" s="30">
        <v>712</v>
      </c>
      <c r="B103" s="31" t="s">
        <v>159</v>
      </c>
      <c r="C103" s="30">
        <v>2913</v>
      </c>
      <c r="D103" s="32"/>
      <c r="E103" s="33">
        <v>0</v>
      </c>
      <c r="F103" s="30">
        <v>0</v>
      </c>
      <c r="G103" s="30">
        <v>0</v>
      </c>
    </row>
    <row r="104" spans="1:7" ht="12.75">
      <c r="A104" s="30">
        <v>713</v>
      </c>
      <c r="B104" s="31" t="s">
        <v>160</v>
      </c>
      <c r="C104" s="30">
        <v>2913</v>
      </c>
      <c r="D104" s="32"/>
      <c r="E104" s="33">
        <v>0</v>
      </c>
      <c r="F104" s="30">
        <v>0</v>
      </c>
      <c r="G104" s="30">
        <v>0</v>
      </c>
    </row>
    <row r="105" spans="1:7" ht="12.75">
      <c r="A105" s="30">
        <v>714</v>
      </c>
      <c r="B105" s="31" t="s">
        <v>161</v>
      </c>
      <c r="C105" s="30">
        <v>2913</v>
      </c>
      <c r="D105" s="32"/>
      <c r="E105" s="33">
        <v>0</v>
      </c>
      <c r="F105" s="30">
        <v>0</v>
      </c>
      <c r="G105" s="30">
        <v>0</v>
      </c>
    </row>
    <row r="106" spans="1:7" ht="12.75">
      <c r="A106" s="30">
        <v>715</v>
      </c>
      <c r="B106" s="31" t="s">
        <v>162</v>
      </c>
      <c r="C106" s="30">
        <v>1912</v>
      </c>
      <c r="D106" s="32"/>
      <c r="E106" s="33">
        <v>0</v>
      </c>
      <c r="F106" s="30">
        <v>42</v>
      </c>
      <c r="G106" s="30">
        <v>0</v>
      </c>
    </row>
    <row r="107" spans="1:7" ht="12.75">
      <c r="A107" s="30">
        <v>716</v>
      </c>
      <c r="B107" s="31" t="s">
        <v>163</v>
      </c>
      <c r="C107" s="30">
        <v>1942</v>
      </c>
      <c r="D107" s="32"/>
      <c r="E107" s="33">
        <v>0</v>
      </c>
      <c r="F107" s="30">
        <v>0</v>
      </c>
      <c r="G107" s="30">
        <v>0</v>
      </c>
    </row>
    <row r="108" spans="1:7" ht="12.75">
      <c r="A108" s="30">
        <v>717</v>
      </c>
      <c r="B108" s="31" t="s">
        <v>164</v>
      </c>
      <c r="C108" s="30">
        <v>2100</v>
      </c>
      <c r="D108" s="32"/>
      <c r="E108" s="33">
        <v>150</v>
      </c>
      <c r="F108" s="30">
        <v>0</v>
      </c>
      <c r="G108" s="30">
        <v>0</v>
      </c>
    </row>
    <row r="109" spans="1:7" ht="12.75">
      <c r="A109" s="30">
        <v>718</v>
      </c>
      <c r="B109" s="31" t="s">
        <v>165</v>
      </c>
      <c r="C109" s="30">
        <v>1942</v>
      </c>
      <c r="D109" s="32"/>
      <c r="E109" s="33">
        <v>17</v>
      </c>
      <c r="F109" s="30">
        <v>0</v>
      </c>
      <c r="G109" s="30">
        <v>0</v>
      </c>
    </row>
    <row r="110" spans="1:7" ht="12.75">
      <c r="A110" s="30">
        <v>719</v>
      </c>
      <c r="B110" s="31" t="s">
        <v>166</v>
      </c>
      <c r="C110" s="30">
        <v>1782</v>
      </c>
      <c r="D110" s="32"/>
      <c r="E110" s="33">
        <v>0</v>
      </c>
      <c r="F110" s="30">
        <v>0</v>
      </c>
      <c r="G110" s="30">
        <v>0</v>
      </c>
    </row>
    <row r="111" spans="1:7" ht="12.75">
      <c r="A111" s="30">
        <v>720</v>
      </c>
      <c r="B111" s="31" t="s">
        <v>167</v>
      </c>
      <c r="C111" s="30">
        <v>1782</v>
      </c>
      <c r="D111" s="32"/>
      <c r="E111" s="33">
        <v>17</v>
      </c>
      <c r="F111" s="30">
        <v>0</v>
      </c>
      <c r="G111" s="30">
        <v>0</v>
      </c>
    </row>
    <row r="112" spans="1:7" ht="12.75">
      <c r="A112" s="30">
        <v>721</v>
      </c>
      <c r="B112" s="31" t="s">
        <v>168</v>
      </c>
      <c r="C112" s="30">
        <v>1942</v>
      </c>
      <c r="D112" s="32"/>
      <c r="E112" s="33">
        <v>150</v>
      </c>
      <c r="F112" s="30">
        <v>0</v>
      </c>
      <c r="G112" s="30">
        <v>0</v>
      </c>
    </row>
    <row r="113" spans="1:7" ht="12.75">
      <c r="A113" s="30">
        <v>722</v>
      </c>
      <c r="B113" s="31" t="s">
        <v>169</v>
      </c>
      <c r="C113" s="30">
        <v>1692</v>
      </c>
      <c r="D113" s="32"/>
      <c r="E113" s="33">
        <v>0</v>
      </c>
      <c r="F113" s="30">
        <v>0</v>
      </c>
      <c r="G113" s="30">
        <v>0</v>
      </c>
    </row>
    <row r="114" spans="1:7" ht="12.75">
      <c r="A114" s="30">
        <v>723</v>
      </c>
      <c r="B114" s="31" t="s">
        <v>170</v>
      </c>
      <c r="C114" s="30">
        <v>1700</v>
      </c>
      <c r="D114" s="32"/>
      <c r="E114" s="33">
        <v>0</v>
      </c>
      <c r="F114" s="30">
        <v>0</v>
      </c>
      <c r="G114" s="30">
        <v>0</v>
      </c>
    </row>
    <row r="115" spans="1:7" ht="12.75">
      <c r="A115" s="30">
        <v>724</v>
      </c>
      <c r="B115" s="31" t="s">
        <v>171</v>
      </c>
      <c r="C115" s="30">
        <v>1942</v>
      </c>
      <c r="D115" s="32"/>
      <c r="E115" s="33">
        <v>150</v>
      </c>
      <c r="F115" s="30">
        <v>0</v>
      </c>
      <c r="G115" s="30">
        <v>0</v>
      </c>
    </row>
    <row r="116" spans="1:7" ht="12.75">
      <c r="A116" s="30">
        <v>725</v>
      </c>
      <c r="B116" s="31" t="s">
        <v>172</v>
      </c>
      <c r="C116" s="30">
        <v>1592</v>
      </c>
      <c r="D116" s="32"/>
      <c r="E116" s="33">
        <v>0</v>
      </c>
      <c r="F116" s="30">
        <v>0</v>
      </c>
      <c r="G116" s="30">
        <v>0</v>
      </c>
    </row>
    <row r="117" spans="1:7" ht="12.75">
      <c r="A117" s="30">
        <v>726</v>
      </c>
      <c r="B117" s="31" t="s">
        <v>173</v>
      </c>
      <c r="C117" s="30">
        <v>1500</v>
      </c>
      <c r="D117" s="32"/>
      <c r="E117" s="33">
        <v>150</v>
      </c>
      <c r="F117" s="30">
        <v>0</v>
      </c>
      <c r="G117" s="30">
        <v>0</v>
      </c>
    </row>
    <row r="118" spans="1:7" ht="12.75">
      <c r="A118" s="35">
        <v>727</v>
      </c>
      <c r="B118" s="36" t="s">
        <v>174</v>
      </c>
      <c r="C118" s="35">
        <v>1600</v>
      </c>
      <c r="D118" s="32"/>
      <c r="E118" s="37">
        <v>0</v>
      </c>
      <c r="F118" s="35">
        <v>0</v>
      </c>
      <c r="G118" s="35">
        <v>0</v>
      </c>
    </row>
    <row r="119" spans="1:7" ht="12.75">
      <c r="A119" s="30">
        <v>728</v>
      </c>
      <c r="B119" s="31" t="s">
        <v>175</v>
      </c>
      <c r="C119" s="30">
        <v>1360</v>
      </c>
      <c r="D119" s="32"/>
      <c r="E119" s="33">
        <v>17</v>
      </c>
      <c r="F119" s="30">
        <v>0</v>
      </c>
      <c r="G119" s="30">
        <v>0</v>
      </c>
    </row>
    <row r="120" spans="1:7" ht="12.75">
      <c r="A120" s="30">
        <v>729</v>
      </c>
      <c r="B120" s="31" t="s">
        <v>176</v>
      </c>
      <c r="C120" s="30">
        <v>1692</v>
      </c>
      <c r="D120" s="32"/>
      <c r="E120" s="33">
        <v>0</v>
      </c>
      <c r="F120" s="30">
        <v>0</v>
      </c>
      <c r="G120" s="30">
        <v>0</v>
      </c>
    </row>
    <row r="121" spans="1:7" ht="12.75">
      <c r="A121" s="30">
        <v>730</v>
      </c>
      <c r="B121" s="31" t="s">
        <v>177</v>
      </c>
      <c r="C121" s="30">
        <v>1700</v>
      </c>
      <c r="D121" s="32"/>
      <c r="E121" s="33">
        <v>0</v>
      </c>
      <c r="F121" s="30">
        <v>0</v>
      </c>
      <c r="G121" s="30">
        <v>0</v>
      </c>
    </row>
    <row r="122" spans="1:7" ht="12.75">
      <c r="A122" s="30">
        <v>731</v>
      </c>
      <c r="B122" s="31" t="s">
        <v>178</v>
      </c>
      <c r="C122" s="30">
        <v>1592</v>
      </c>
      <c r="D122" s="32"/>
      <c r="E122" s="33">
        <v>0</v>
      </c>
      <c r="F122" s="30">
        <v>0</v>
      </c>
      <c r="G122" s="30">
        <v>0</v>
      </c>
    </row>
    <row r="123" spans="1:7" ht="12.75">
      <c r="A123" s="30">
        <v>732</v>
      </c>
      <c r="B123" s="31" t="s">
        <v>179</v>
      </c>
      <c r="C123" s="30">
        <v>971</v>
      </c>
      <c r="D123" s="32"/>
      <c r="E123" s="33">
        <v>150</v>
      </c>
      <c r="F123" s="30">
        <v>0</v>
      </c>
      <c r="G123" s="30">
        <v>0</v>
      </c>
    </row>
    <row r="124" spans="1:7" ht="12.75">
      <c r="A124" s="30">
        <v>733</v>
      </c>
      <c r="B124" s="31" t="s">
        <v>180</v>
      </c>
      <c r="C124" s="30">
        <v>1150</v>
      </c>
      <c r="D124" s="32"/>
      <c r="E124" s="33">
        <v>0</v>
      </c>
      <c r="F124" s="30">
        <v>0</v>
      </c>
      <c r="G124" s="30">
        <v>0</v>
      </c>
    </row>
    <row r="125" spans="1:7" ht="12.75">
      <c r="A125" s="30">
        <v>734</v>
      </c>
      <c r="B125" s="31" t="s">
        <v>181</v>
      </c>
      <c r="C125" s="30">
        <v>1500</v>
      </c>
      <c r="D125" s="32"/>
      <c r="E125" s="33">
        <v>150</v>
      </c>
      <c r="F125" s="30">
        <v>0</v>
      </c>
      <c r="G125" s="30">
        <v>0</v>
      </c>
    </row>
    <row r="126" spans="1:7" ht="12.75">
      <c r="A126" s="30">
        <v>735</v>
      </c>
      <c r="B126" s="31" t="s">
        <v>182</v>
      </c>
      <c r="C126" s="30">
        <v>971</v>
      </c>
      <c r="D126" s="32"/>
      <c r="E126" s="33">
        <v>150</v>
      </c>
      <c r="F126" s="30">
        <v>0</v>
      </c>
      <c r="G126" s="30">
        <v>0</v>
      </c>
    </row>
    <row r="127" spans="1:7" ht="12.75">
      <c r="A127" s="30">
        <v>736</v>
      </c>
      <c r="B127" s="31" t="s">
        <v>183</v>
      </c>
      <c r="C127" s="30">
        <v>1600</v>
      </c>
      <c r="D127" s="32"/>
      <c r="E127" s="33">
        <v>0</v>
      </c>
      <c r="F127" s="30">
        <v>0</v>
      </c>
      <c r="G127" s="30">
        <v>0</v>
      </c>
    </row>
    <row r="128" spans="1:7" ht="12.75">
      <c r="A128" s="30">
        <v>737</v>
      </c>
      <c r="B128" s="31" t="s">
        <v>184</v>
      </c>
      <c r="C128" s="30">
        <v>971</v>
      </c>
      <c r="D128" s="32"/>
      <c r="E128" s="33">
        <v>150</v>
      </c>
      <c r="F128" s="30">
        <v>0</v>
      </c>
      <c r="G128" s="30">
        <v>0</v>
      </c>
    </row>
    <row r="129" spans="1:7" ht="12.75">
      <c r="A129" s="30">
        <v>738</v>
      </c>
      <c r="B129" s="31" t="s">
        <v>185</v>
      </c>
      <c r="C129" s="30">
        <v>971</v>
      </c>
      <c r="D129" s="32"/>
      <c r="E129" s="33">
        <v>17</v>
      </c>
      <c r="F129" s="30">
        <v>0</v>
      </c>
      <c r="G129" s="30">
        <v>0</v>
      </c>
    </row>
    <row r="130" spans="1:7" ht="12.75">
      <c r="A130" s="30">
        <v>739</v>
      </c>
      <c r="B130" s="31" t="s">
        <v>186</v>
      </c>
      <c r="C130" s="30">
        <v>971</v>
      </c>
      <c r="D130" s="32"/>
      <c r="E130" s="33">
        <v>150</v>
      </c>
      <c r="F130" s="30">
        <v>0</v>
      </c>
      <c r="G130" s="30">
        <v>0</v>
      </c>
    </row>
    <row r="131" spans="1:7" ht="12.75">
      <c r="A131" s="30">
        <v>740</v>
      </c>
      <c r="B131" s="31" t="s">
        <v>187</v>
      </c>
      <c r="C131" s="30">
        <v>971</v>
      </c>
      <c r="D131" s="32"/>
      <c r="E131" s="33">
        <v>150</v>
      </c>
      <c r="F131" s="30">
        <v>0</v>
      </c>
      <c r="G131" s="30">
        <v>0</v>
      </c>
    </row>
    <row r="132" spans="1:7" ht="12.75">
      <c r="A132" s="30">
        <v>741</v>
      </c>
      <c r="B132" s="31" t="s">
        <v>188</v>
      </c>
      <c r="C132" s="30">
        <v>1300</v>
      </c>
      <c r="D132" s="32"/>
      <c r="E132" s="33">
        <v>0</v>
      </c>
      <c r="F132" s="30">
        <v>0</v>
      </c>
      <c r="G132" s="30">
        <v>0</v>
      </c>
    </row>
    <row r="133" spans="1:7" ht="12.75">
      <c r="A133" s="30">
        <v>742</v>
      </c>
      <c r="B133" s="31" t="s">
        <v>189</v>
      </c>
      <c r="C133" s="30">
        <v>971</v>
      </c>
      <c r="D133" s="32"/>
      <c r="E133" s="33">
        <v>150</v>
      </c>
      <c r="F133" s="30">
        <v>0</v>
      </c>
      <c r="G133" s="30">
        <v>0</v>
      </c>
    </row>
    <row r="134" spans="1:7" ht="12.75">
      <c r="A134" s="38">
        <v>743</v>
      </c>
      <c r="B134" s="39" t="s">
        <v>190</v>
      </c>
      <c r="C134" s="38">
        <v>971</v>
      </c>
      <c r="D134" s="32"/>
      <c r="E134" s="40">
        <v>17</v>
      </c>
      <c r="F134" s="38">
        <v>0</v>
      </c>
      <c r="G134" s="38">
        <v>0</v>
      </c>
    </row>
    <row r="135" spans="1:7" ht="12.75">
      <c r="A135" s="30">
        <v>744</v>
      </c>
      <c r="B135" s="31" t="s">
        <v>191</v>
      </c>
      <c r="C135" s="30">
        <v>1400</v>
      </c>
      <c r="D135" s="32"/>
      <c r="E135" s="33">
        <v>0</v>
      </c>
      <c r="F135" s="30">
        <v>0</v>
      </c>
      <c r="G135" s="30">
        <v>0</v>
      </c>
    </row>
    <row r="136" spans="1:7" ht="12.75">
      <c r="A136" s="30">
        <v>745</v>
      </c>
      <c r="B136" s="31" t="s">
        <v>192</v>
      </c>
      <c r="C136" s="30">
        <v>1450</v>
      </c>
      <c r="D136" s="32"/>
      <c r="E136" s="33">
        <v>0</v>
      </c>
      <c r="F136" s="30">
        <v>0</v>
      </c>
      <c r="G136" s="30">
        <v>0</v>
      </c>
    </row>
    <row r="137" spans="1:7" ht="12.75">
      <c r="A137" s="30">
        <v>746</v>
      </c>
      <c r="B137" s="31" t="s">
        <v>193</v>
      </c>
      <c r="C137" s="30">
        <v>971</v>
      </c>
      <c r="D137" s="32"/>
      <c r="E137" s="33">
        <v>150</v>
      </c>
      <c r="F137" s="30">
        <v>0</v>
      </c>
      <c r="G137" s="30">
        <v>0</v>
      </c>
    </row>
    <row r="138" spans="1:7" ht="12.75">
      <c r="A138" s="30">
        <v>747</v>
      </c>
      <c r="B138" s="31" t="s">
        <v>194</v>
      </c>
      <c r="C138" s="30">
        <v>971</v>
      </c>
      <c r="D138" s="32"/>
      <c r="E138" s="33">
        <v>0</v>
      </c>
      <c r="F138" s="30">
        <v>0</v>
      </c>
      <c r="G138" s="30">
        <v>0</v>
      </c>
    </row>
    <row r="139" spans="1:7" ht="12.75">
      <c r="A139" s="30">
        <v>748</v>
      </c>
      <c r="B139" s="31" t="s">
        <v>195</v>
      </c>
      <c r="C139" s="30">
        <v>1250</v>
      </c>
      <c r="D139" s="32"/>
      <c r="E139" s="33">
        <v>0</v>
      </c>
      <c r="F139" s="30">
        <v>0</v>
      </c>
      <c r="G139" s="30">
        <v>0</v>
      </c>
    </row>
    <row r="140" spans="1:7" ht="12.75">
      <c r="A140" s="30">
        <v>749</v>
      </c>
      <c r="B140" s="31" t="s">
        <v>89</v>
      </c>
      <c r="C140" s="30">
        <v>971</v>
      </c>
      <c r="D140" s="32"/>
      <c r="E140" s="33">
        <v>0</v>
      </c>
      <c r="F140" s="30">
        <v>0</v>
      </c>
      <c r="G140" s="30">
        <v>0</v>
      </c>
    </row>
    <row r="141" spans="1:7" ht="12.75">
      <c r="A141" s="30">
        <v>750</v>
      </c>
      <c r="B141" s="31" t="s">
        <v>88</v>
      </c>
      <c r="C141" s="30">
        <v>971</v>
      </c>
      <c r="D141" s="32"/>
      <c r="E141" s="33">
        <v>0</v>
      </c>
      <c r="F141" s="30">
        <v>0</v>
      </c>
      <c r="G141" s="30">
        <v>0</v>
      </c>
    </row>
    <row r="142" spans="1:7" ht="12.75">
      <c r="A142" s="30">
        <v>751</v>
      </c>
      <c r="B142" s="31" t="s">
        <v>196</v>
      </c>
      <c r="C142" s="30">
        <v>1500</v>
      </c>
      <c r="D142" s="32"/>
      <c r="E142" s="33">
        <v>150</v>
      </c>
      <c r="F142" s="30">
        <v>0</v>
      </c>
      <c r="G142" s="30">
        <v>0</v>
      </c>
    </row>
    <row r="143" spans="1:7" ht="12.75">
      <c r="A143" s="30">
        <v>752</v>
      </c>
      <c r="B143" s="31" t="s">
        <v>197</v>
      </c>
      <c r="C143" s="30">
        <v>2913</v>
      </c>
      <c r="D143" s="32"/>
      <c r="E143" s="33">
        <v>20</v>
      </c>
      <c r="F143" s="30">
        <v>0</v>
      </c>
      <c r="G143" s="30">
        <v>0</v>
      </c>
    </row>
    <row r="144" spans="1:7" ht="12.75">
      <c r="A144" s="30">
        <v>753</v>
      </c>
      <c r="B144" s="31" t="s">
        <v>198</v>
      </c>
      <c r="C144" s="30">
        <v>1942</v>
      </c>
      <c r="D144" s="32"/>
      <c r="E144" s="33">
        <v>150</v>
      </c>
      <c r="F144" s="30">
        <v>0</v>
      </c>
      <c r="G144" s="30">
        <v>0</v>
      </c>
    </row>
    <row r="145" spans="1:7" ht="12.75">
      <c r="A145" s="30">
        <v>754</v>
      </c>
      <c r="B145" s="31" t="s">
        <v>199</v>
      </c>
      <c r="C145" s="30">
        <v>971</v>
      </c>
      <c r="D145" s="32"/>
      <c r="E145" s="33">
        <v>0</v>
      </c>
      <c r="F145" s="30">
        <v>0</v>
      </c>
      <c r="G145" s="30">
        <v>0</v>
      </c>
    </row>
    <row r="146" spans="1:7" ht="12.75">
      <c r="A146" s="30">
        <v>755</v>
      </c>
      <c r="B146" s="31" t="s">
        <v>200</v>
      </c>
      <c r="C146" s="30">
        <v>971</v>
      </c>
      <c r="D146" s="32"/>
      <c r="E146" s="33">
        <v>0</v>
      </c>
      <c r="F146" s="30">
        <v>0</v>
      </c>
      <c r="G146" s="30">
        <v>0</v>
      </c>
    </row>
    <row r="147" spans="1:7" ht="12.75">
      <c r="A147" s="30">
        <v>756</v>
      </c>
      <c r="B147" s="31" t="s">
        <v>201</v>
      </c>
      <c r="C147" s="30">
        <v>1290</v>
      </c>
      <c r="D147" s="32"/>
      <c r="E147" s="33">
        <v>0</v>
      </c>
      <c r="F147" s="30">
        <v>0</v>
      </c>
      <c r="G147" s="30">
        <v>0</v>
      </c>
    </row>
    <row r="148" spans="1:7" ht="12.75">
      <c r="A148" s="30">
        <v>757</v>
      </c>
      <c r="B148" s="31" t="s">
        <v>202</v>
      </c>
      <c r="C148" s="30">
        <v>971</v>
      </c>
      <c r="D148" s="32"/>
      <c r="E148" s="33">
        <v>0</v>
      </c>
      <c r="F148" s="30">
        <v>0</v>
      </c>
      <c r="G148" s="30">
        <v>0</v>
      </c>
    </row>
    <row r="149" spans="1:7" ht="12.75">
      <c r="A149" s="30">
        <v>758</v>
      </c>
      <c r="B149" s="31" t="s">
        <v>203</v>
      </c>
      <c r="C149" s="30">
        <v>971</v>
      </c>
      <c r="D149" s="32"/>
      <c r="E149" s="33">
        <v>0</v>
      </c>
      <c r="F149" s="30">
        <v>0</v>
      </c>
      <c r="G149" s="30">
        <v>0</v>
      </c>
    </row>
    <row r="150" spans="1:7" ht="12.75">
      <c r="A150" s="30">
        <v>759</v>
      </c>
      <c r="B150" s="31" t="s">
        <v>204</v>
      </c>
      <c r="C150" s="30">
        <v>971</v>
      </c>
      <c r="D150" s="32"/>
      <c r="E150" s="33">
        <v>150</v>
      </c>
      <c r="F150" s="30">
        <v>0</v>
      </c>
      <c r="G150" s="30">
        <v>0</v>
      </c>
    </row>
    <row r="151" spans="1:7" ht="12.75">
      <c r="A151" s="30">
        <v>760</v>
      </c>
      <c r="B151" s="31" t="s">
        <v>205</v>
      </c>
      <c r="C151" s="30">
        <v>1400</v>
      </c>
      <c r="D151" s="32"/>
      <c r="E151" s="33">
        <v>0</v>
      </c>
      <c r="F151" s="30">
        <v>0</v>
      </c>
      <c r="G151" s="30">
        <v>0</v>
      </c>
    </row>
    <row r="152" spans="1:7" ht="12.75">
      <c r="A152" s="30">
        <v>761</v>
      </c>
      <c r="B152" s="31" t="s">
        <v>206</v>
      </c>
      <c r="C152" s="30">
        <v>1700</v>
      </c>
      <c r="D152" s="32"/>
      <c r="E152" s="33">
        <v>150</v>
      </c>
      <c r="F152" s="30">
        <v>0</v>
      </c>
      <c r="G152" s="30">
        <v>0</v>
      </c>
    </row>
    <row r="153" spans="1:7" ht="12.75">
      <c r="A153" s="30">
        <v>762</v>
      </c>
      <c r="B153" s="31" t="s">
        <v>207</v>
      </c>
      <c r="C153" s="30">
        <v>971</v>
      </c>
      <c r="D153" s="32"/>
      <c r="E153" s="33">
        <v>0</v>
      </c>
      <c r="F153" s="30">
        <v>0</v>
      </c>
      <c r="G153" s="30">
        <v>0</v>
      </c>
    </row>
    <row r="154" spans="1:7" ht="12.75">
      <c r="A154" s="30">
        <v>763</v>
      </c>
      <c r="B154" s="31" t="s">
        <v>208</v>
      </c>
      <c r="C154" s="30">
        <v>971</v>
      </c>
      <c r="D154" s="32"/>
      <c r="E154" s="33">
        <v>0</v>
      </c>
      <c r="F154" s="30">
        <v>0</v>
      </c>
      <c r="G154" s="30">
        <v>0</v>
      </c>
    </row>
    <row r="155" spans="1:7" ht="12.75">
      <c r="A155" s="30">
        <v>764</v>
      </c>
      <c r="B155" s="31" t="s">
        <v>209</v>
      </c>
      <c r="C155" s="30">
        <v>1500</v>
      </c>
      <c r="D155" s="32"/>
      <c r="E155" s="33">
        <v>150</v>
      </c>
      <c r="F155" s="30">
        <v>0</v>
      </c>
      <c r="G155" s="30">
        <v>0</v>
      </c>
    </row>
    <row r="156" spans="1:7" ht="12.75">
      <c r="A156" s="30">
        <v>765</v>
      </c>
      <c r="B156" s="31" t="s">
        <v>210</v>
      </c>
      <c r="C156" s="30">
        <v>1500</v>
      </c>
      <c r="D156" s="32"/>
      <c r="E156" s="33">
        <v>150</v>
      </c>
      <c r="F156" s="30">
        <v>0</v>
      </c>
      <c r="G156" s="30">
        <v>0</v>
      </c>
    </row>
    <row r="157" spans="1:7" ht="12.75">
      <c r="A157" s="30">
        <v>766</v>
      </c>
      <c r="B157" s="31" t="s">
        <v>211</v>
      </c>
      <c r="C157" s="30">
        <v>1942</v>
      </c>
      <c r="D157" s="32"/>
      <c r="E157" s="33">
        <v>150</v>
      </c>
      <c r="F157" s="30">
        <v>0</v>
      </c>
      <c r="G157" s="30">
        <v>0</v>
      </c>
    </row>
    <row r="158" spans="1:7" ht="12.75">
      <c r="A158" s="30">
        <v>767</v>
      </c>
      <c r="B158" s="31" t="s">
        <v>212</v>
      </c>
      <c r="C158" s="30">
        <v>1700</v>
      </c>
      <c r="D158" s="32"/>
      <c r="E158" s="33">
        <v>150</v>
      </c>
      <c r="F158" s="30">
        <v>0</v>
      </c>
      <c r="G158" s="30">
        <v>0</v>
      </c>
    </row>
    <row r="159" spans="1:7" ht="12.75">
      <c r="A159" s="30">
        <v>768</v>
      </c>
      <c r="B159" s="31" t="s">
        <v>213</v>
      </c>
      <c r="C159" s="30">
        <v>971</v>
      </c>
      <c r="D159" s="32"/>
      <c r="E159" s="33">
        <v>150</v>
      </c>
      <c r="F159" s="30">
        <v>0</v>
      </c>
      <c r="G159" s="30">
        <v>0</v>
      </c>
    </row>
    <row r="160" spans="1:7" ht="12.75">
      <c r="A160" s="30">
        <v>769</v>
      </c>
      <c r="B160" s="31" t="s">
        <v>214</v>
      </c>
      <c r="C160" s="30">
        <v>2913</v>
      </c>
      <c r="D160" s="32"/>
      <c r="E160" s="33">
        <v>0</v>
      </c>
      <c r="F160" s="30">
        <v>0</v>
      </c>
      <c r="G160" s="30">
        <v>0</v>
      </c>
    </row>
    <row r="161" spans="1:7" ht="12.75">
      <c r="A161" s="30">
        <v>770</v>
      </c>
      <c r="B161" s="31" t="s">
        <v>215</v>
      </c>
      <c r="C161" s="30">
        <v>2913</v>
      </c>
      <c r="D161" s="32"/>
      <c r="E161" s="33">
        <v>0</v>
      </c>
      <c r="F161" s="30">
        <v>0</v>
      </c>
      <c r="G161" s="30">
        <v>0</v>
      </c>
    </row>
    <row r="162" spans="1:7" ht="12.75">
      <c r="A162" s="30">
        <v>771</v>
      </c>
      <c r="B162" s="31" t="s">
        <v>216</v>
      </c>
      <c r="C162" s="30">
        <v>971</v>
      </c>
      <c r="D162" s="32"/>
      <c r="E162" s="33">
        <v>0</v>
      </c>
      <c r="F162" s="30">
        <v>0</v>
      </c>
      <c r="G162" s="30">
        <v>620</v>
      </c>
    </row>
    <row r="163" spans="1:7" ht="12.75">
      <c r="A163" s="30">
        <v>772</v>
      </c>
      <c r="B163" s="31" t="s">
        <v>217</v>
      </c>
      <c r="C163" s="30">
        <v>971</v>
      </c>
      <c r="D163" s="32"/>
      <c r="E163" s="33">
        <v>0</v>
      </c>
      <c r="F163" s="30">
        <v>0</v>
      </c>
      <c r="G163" s="30">
        <v>620</v>
      </c>
    </row>
    <row r="164" spans="1:7" ht="12.75">
      <c r="A164" s="30">
        <v>773</v>
      </c>
      <c r="B164" s="31" t="s">
        <v>218</v>
      </c>
      <c r="C164" s="30">
        <v>1942</v>
      </c>
      <c r="D164" s="32"/>
      <c r="E164" s="33">
        <v>0</v>
      </c>
      <c r="F164" s="30">
        <v>0</v>
      </c>
      <c r="G164" s="30">
        <v>669</v>
      </c>
    </row>
    <row r="165" spans="1:7" ht="12.75">
      <c r="A165" s="30">
        <v>774</v>
      </c>
      <c r="B165" s="31" t="s">
        <v>219</v>
      </c>
      <c r="C165" s="30">
        <v>1700</v>
      </c>
      <c r="D165" s="32"/>
      <c r="E165" s="33">
        <v>0</v>
      </c>
      <c r="F165" s="30">
        <v>0</v>
      </c>
      <c r="G165" s="30">
        <v>657</v>
      </c>
    </row>
    <row r="166" spans="1:7" ht="12.75">
      <c r="A166" s="30">
        <v>775</v>
      </c>
      <c r="B166" s="31" t="s">
        <v>220</v>
      </c>
      <c r="C166" s="30">
        <v>1400</v>
      </c>
      <c r="D166" s="32"/>
      <c r="E166" s="33">
        <v>150</v>
      </c>
      <c r="F166" s="30">
        <v>0</v>
      </c>
      <c r="G166" s="30">
        <v>0</v>
      </c>
    </row>
    <row r="167" spans="1:7" ht="12.75">
      <c r="A167" s="30">
        <v>776</v>
      </c>
      <c r="B167" s="31" t="s">
        <v>221</v>
      </c>
      <c r="C167" s="30">
        <v>971</v>
      </c>
      <c r="D167" s="32"/>
      <c r="E167" s="33">
        <v>0</v>
      </c>
      <c r="F167" s="30">
        <v>0</v>
      </c>
      <c r="G167" s="30">
        <v>0</v>
      </c>
    </row>
    <row r="168" spans="1:7" ht="12.75">
      <c r="A168" s="30">
        <v>777</v>
      </c>
      <c r="B168" s="31" t="s">
        <v>222</v>
      </c>
      <c r="C168" s="30">
        <v>971</v>
      </c>
      <c r="D168" s="32"/>
      <c r="E168" s="33">
        <v>0</v>
      </c>
      <c r="F168" s="30">
        <v>0</v>
      </c>
      <c r="G168" s="30">
        <v>155</v>
      </c>
    </row>
    <row r="169" spans="1:7" ht="12.75">
      <c r="A169" s="30">
        <v>778</v>
      </c>
      <c r="B169" s="31" t="s">
        <v>223</v>
      </c>
      <c r="C169" s="30">
        <v>1692</v>
      </c>
      <c r="D169" s="32"/>
      <c r="E169" s="33">
        <v>17</v>
      </c>
      <c r="F169" s="30">
        <v>0</v>
      </c>
      <c r="G169" s="30">
        <v>0</v>
      </c>
    </row>
    <row r="170" spans="1:7" ht="12.75">
      <c r="A170" s="30">
        <v>779</v>
      </c>
      <c r="B170" s="34" t="s">
        <v>224</v>
      </c>
      <c r="C170" s="30">
        <v>853</v>
      </c>
      <c r="D170" s="32"/>
      <c r="E170" s="33">
        <v>0</v>
      </c>
      <c r="F170" s="30">
        <v>0</v>
      </c>
      <c r="G170" s="30">
        <v>0</v>
      </c>
    </row>
    <row r="171" spans="1:7" ht="12.75">
      <c r="A171" s="30">
        <v>780</v>
      </c>
      <c r="B171" s="31" t="s">
        <v>225</v>
      </c>
      <c r="C171" s="30">
        <v>3146</v>
      </c>
      <c r="D171" s="32"/>
      <c r="E171" s="33">
        <v>0</v>
      </c>
      <c r="F171" s="30">
        <v>0</v>
      </c>
      <c r="G171" s="30">
        <v>0</v>
      </c>
    </row>
    <row r="172" spans="1:7" ht="12.75">
      <c r="A172" s="30">
        <v>781</v>
      </c>
      <c r="B172" s="31" t="s">
        <v>226</v>
      </c>
      <c r="C172" s="30">
        <v>2288</v>
      </c>
      <c r="D172" s="32"/>
      <c r="E172" s="33">
        <v>0</v>
      </c>
      <c r="F172" s="30">
        <v>0</v>
      </c>
      <c r="G172" s="30">
        <v>0</v>
      </c>
    </row>
    <row r="173" spans="1:7" ht="12.75">
      <c r="A173" s="30">
        <v>783</v>
      </c>
      <c r="B173" s="31" t="s">
        <v>227</v>
      </c>
      <c r="C173" s="30">
        <v>971</v>
      </c>
      <c r="D173" s="32"/>
      <c r="E173" s="33">
        <v>0</v>
      </c>
      <c r="F173" s="30">
        <v>0</v>
      </c>
      <c r="G173" s="30">
        <v>0</v>
      </c>
    </row>
    <row r="174" spans="1:7" ht="12.75">
      <c r="A174" s="30">
        <v>784</v>
      </c>
      <c r="B174" s="31" t="s">
        <v>228</v>
      </c>
      <c r="C174" s="30">
        <v>2490</v>
      </c>
      <c r="D174" s="32"/>
      <c r="E174" s="33">
        <v>0</v>
      </c>
      <c r="F174" s="30">
        <v>0</v>
      </c>
      <c r="G174" s="30">
        <v>0</v>
      </c>
    </row>
    <row r="175" spans="1:7" ht="12.75">
      <c r="A175" s="30">
        <v>788</v>
      </c>
      <c r="B175" s="31" t="s">
        <v>229</v>
      </c>
      <c r="C175" s="30">
        <v>2000</v>
      </c>
      <c r="D175" s="32"/>
      <c r="E175" s="33">
        <v>0</v>
      </c>
      <c r="F175" s="30">
        <v>0</v>
      </c>
      <c r="G175" s="30">
        <v>0</v>
      </c>
    </row>
    <row r="176" spans="1:7" ht="12.75">
      <c r="A176" s="30">
        <v>789</v>
      </c>
      <c r="B176" s="31" t="s">
        <v>230</v>
      </c>
      <c r="C176" s="30">
        <v>971</v>
      </c>
      <c r="D176" s="32"/>
      <c r="E176" s="33">
        <v>0</v>
      </c>
      <c r="F176" s="30">
        <v>0</v>
      </c>
      <c r="G176" s="30">
        <v>0</v>
      </c>
    </row>
    <row r="177" spans="1:7" ht="12.75">
      <c r="A177" s="30">
        <v>791</v>
      </c>
      <c r="B177" s="31" t="s">
        <v>231</v>
      </c>
      <c r="C177" s="30">
        <v>2913</v>
      </c>
      <c r="D177" s="32"/>
      <c r="E177" s="33">
        <v>17</v>
      </c>
      <c r="F177" s="30">
        <v>0</v>
      </c>
      <c r="G177" s="30">
        <v>0</v>
      </c>
    </row>
    <row r="178" spans="1:7" ht="12.75">
      <c r="A178" s="30">
        <v>792</v>
      </c>
      <c r="B178" s="31" t="s">
        <v>232</v>
      </c>
      <c r="C178" s="30">
        <v>2913</v>
      </c>
      <c r="D178" s="32"/>
      <c r="E178" s="33">
        <v>0</v>
      </c>
      <c r="F178" s="30">
        <v>0</v>
      </c>
      <c r="G178" s="30">
        <v>0</v>
      </c>
    </row>
    <row r="179" spans="1:7" ht="12.75">
      <c r="A179" s="30">
        <v>793</v>
      </c>
      <c r="B179" s="31" t="s">
        <v>233</v>
      </c>
      <c r="C179" s="30">
        <v>2913</v>
      </c>
      <c r="D179" s="32"/>
      <c r="E179" s="33">
        <v>0</v>
      </c>
      <c r="F179" s="30">
        <v>0</v>
      </c>
      <c r="G179" s="30">
        <v>0</v>
      </c>
    </row>
    <row r="180" spans="1:7" ht="12.75">
      <c r="A180" s="30">
        <v>794</v>
      </c>
      <c r="B180" s="31" t="s">
        <v>234</v>
      </c>
      <c r="C180" s="30">
        <v>1840</v>
      </c>
      <c r="D180" s="32"/>
      <c r="E180" s="33">
        <v>0</v>
      </c>
      <c r="F180" s="30">
        <v>0</v>
      </c>
      <c r="G180" s="30">
        <v>0</v>
      </c>
    </row>
    <row r="181" spans="1:7" ht="12.75">
      <c r="A181" s="30">
        <v>795</v>
      </c>
      <c r="B181" s="31" t="s">
        <v>235</v>
      </c>
      <c r="C181" s="30">
        <v>1450</v>
      </c>
      <c r="D181" s="32"/>
      <c r="E181" s="33">
        <v>0</v>
      </c>
      <c r="F181" s="30">
        <v>0</v>
      </c>
      <c r="G181" s="30">
        <v>0</v>
      </c>
    </row>
    <row r="182" spans="1:7" ht="12.75">
      <c r="A182" s="30">
        <v>796</v>
      </c>
      <c r="B182" s="31" t="s">
        <v>236</v>
      </c>
      <c r="C182" s="30">
        <v>1340</v>
      </c>
      <c r="D182" s="32"/>
      <c r="E182" s="33">
        <v>0</v>
      </c>
      <c r="F182" s="30">
        <v>0</v>
      </c>
      <c r="G182" s="30">
        <v>0</v>
      </c>
    </row>
    <row r="183" spans="1:7" ht="12.75">
      <c r="A183" s="30">
        <v>797</v>
      </c>
      <c r="B183" s="31" t="s">
        <v>237</v>
      </c>
      <c r="C183" s="30">
        <v>1170</v>
      </c>
      <c r="D183" s="32"/>
      <c r="E183" s="33">
        <v>0</v>
      </c>
      <c r="F183" s="30">
        <v>0</v>
      </c>
      <c r="G183" s="30">
        <v>0</v>
      </c>
    </row>
    <row r="184" spans="1:7" ht="12.75">
      <c r="A184" s="30">
        <v>798</v>
      </c>
      <c r="B184" s="31" t="s">
        <v>238</v>
      </c>
      <c r="C184" s="30">
        <v>961</v>
      </c>
      <c r="D184" s="32"/>
      <c r="E184" s="33">
        <v>0</v>
      </c>
      <c r="F184" s="30">
        <v>0</v>
      </c>
      <c r="G184" s="30">
        <v>0</v>
      </c>
    </row>
    <row r="185" spans="1:7" ht="12.75">
      <c r="A185" s="30">
        <v>808</v>
      </c>
      <c r="B185" s="31" t="s">
        <v>239</v>
      </c>
      <c r="C185" s="30">
        <v>1942</v>
      </c>
      <c r="D185" s="32"/>
      <c r="E185" s="33">
        <v>0</v>
      </c>
      <c r="F185" s="30">
        <v>0</v>
      </c>
      <c r="G185" s="30">
        <v>669</v>
      </c>
    </row>
    <row r="186" spans="1:7" ht="12.75">
      <c r="A186" s="30">
        <v>809</v>
      </c>
      <c r="B186" s="31" t="s">
        <v>240</v>
      </c>
      <c r="C186" s="30">
        <v>1782</v>
      </c>
      <c r="D186" s="32"/>
      <c r="E186" s="33">
        <v>0</v>
      </c>
      <c r="F186" s="30">
        <v>0</v>
      </c>
      <c r="G186" s="30">
        <v>669</v>
      </c>
    </row>
    <row r="187" spans="1:7" ht="12.75">
      <c r="A187" s="30">
        <v>810</v>
      </c>
      <c r="B187" s="31" t="s">
        <v>241</v>
      </c>
      <c r="C187" s="30">
        <v>1692</v>
      </c>
      <c r="D187" s="32"/>
      <c r="E187" s="33">
        <v>0</v>
      </c>
      <c r="F187" s="30">
        <v>0</v>
      </c>
      <c r="G187" s="30">
        <v>663</v>
      </c>
    </row>
    <row r="188" spans="1:7" ht="12.75">
      <c r="A188" s="30">
        <v>811</v>
      </c>
      <c r="B188" s="31" t="s">
        <v>242</v>
      </c>
      <c r="C188" s="30">
        <v>1592</v>
      </c>
      <c r="D188" s="32"/>
      <c r="E188" s="33">
        <v>0</v>
      </c>
      <c r="F188" s="30">
        <v>0</v>
      </c>
      <c r="G188" s="30">
        <v>657</v>
      </c>
    </row>
    <row r="189" spans="1:7" ht="12.75">
      <c r="A189" s="30">
        <v>812</v>
      </c>
      <c r="B189" s="31" t="s">
        <v>243</v>
      </c>
      <c r="C189" s="30">
        <v>1600</v>
      </c>
      <c r="D189" s="32"/>
      <c r="E189" s="33">
        <v>0</v>
      </c>
      <c r="F189" s="30">
        <v>0</v>
      </c>
      <c r="G189" s="30">
        <v>657</v>
      </c>
    </row>
    <row r="190" spans="1:7" ht="12.75">
      <c r="A190" s="30">
        <v>813</v>
      </c>
      <c r="B190" s="31" t="s">
        <v>244</v>
      </c>
      <c r="C190" s="30">
        <v>971</v>
      </c>
      <c r="D190" s="32"/>
      <c r="E190" s="33">
        <v>0</v>
      </c>
      <c r="F190" s="30">
        <v>0</v>
      </c>
      <c r="G190" s="30">
        <v>620</v>
      </c>
    </row>
    <row r="191" spans="1:7" ht="12.75">
      <c r="A191" s="30">
        <v>814</v>
      </c>
      <c r="B191" s="31" t="s">
        <v>245</v>
      </c>
      <c r="C191" s="30">
        <v>971</v>
      </c>
      <c r="D191" s="32"/>
      <c r="E191" s="33">
        <v>0</v>
      </c>
      <c r="F191" s="30">
        <v>0</v>
      </c>
      <c r="G191" s="30">
        <v>155</v>
      </c>
    </row>
    <row r="192" spans="1:7" ht="12.75">
      <c r="A192" s="30">
        <v>815</v>
      </c>
      <c r="B192" s="31" t="s">
        <v>246</v>
      </c>
      <c r="C192" s="30">
        <v>971</v>
      </c>
      <c r="D192" s="32"/>
      <c r="E192" s="33">
        <v>17</v>
      </c>
      <c r="F192" s="30">
        <v>0</v>
      </c>
      <c r="G192" s="30">
        <v>0</v>
      </c>
    </row>
    <row r="193" spans="1:7" ht="12.75">
      <c r="A193" s="30">
        <v>816</v>
      </c>
      <c r="B193" s="31" t="s">
        <v>247</v>
      </c>
      <c r="C193" s="30">
        <v>1600</v>
      </c>
      <c r="D193" s="32"/>
      <c r="E193" s="33">
        <v>17</v>
      </c>
      <c r="F193" s="30">
        <v>0</v>
      </c>
      <c r="G193" s="30">
        <v>0</v>
      </c>
    </row>
    <row r="194" spans="1:7" ht="12.75">
      <c r="A194" s="30">
        <v>817</v>
      </c>
      <c r="B194" s="31" t="s">
        <v>248</v>
      </c>
      <c r="C194" s="30">
        <v>1782</v>
      </c>
      <c r="D194" s="32"/>
      <c r="E194" s="33">
        <v>0</v>
      </c>
      <c r="F194" s="30">
        <v>0</v>
      </c>
      <c r="G194" s="30">
        <v>839</v>
      </c>
    </row>
    <row r="195" spans="1:7" ht="12.75">
      <c r="A195" s="30">
        <v>818</v>
      </c>
      <c r="B195" s="31" t="s">
        <v>249</v>
      </c>
      <c r="C195" s="30">
        <v>971</v>
      </c>
      <c r="D195" s="32"/>
      <c r="E195" s="33">
        <v>0</v>
      </c>
      <c r="F195" s="30">
        <v>0</v>
      </c>
      <c r="G195" s="30">
        <v>659</v>
      </c>
    </row>
    <row r="196" spans="1:7" ht="12.75">
      <c r="A196" s="30">
        <v>819</v>
      </c>
      <c r="B196" s="31" t="s">
        <v>250</v>
      </c>
      <c r="C196" s="30">
        <v>971</v>
      </c>
      <c r="D196" s="32"/>
      <c r="E196" s="33">
        <v>0</v>
      </c>
      <c r="F196" s="30">
        <v>0</v>
      </c>
      <c r="G196" s="30">
        <v>155</v>
      </c>
    </row>
    <row r="197" spans="1:7" ht="12.75">
      <c r="A197" s="30">
        <v>820</v>
      </c>
      <c r="B197" s="31" t="s">
        <v>251</v>
      </c>
      <c r="C197" s="30">
        <v>1692</v>
      </c>
      <c r="D197" s="32"/>
      <c r="E197" s="33">
        <v>0</v>
      </c>
      <c r="F197" s="30">
        <v>0</v>
      </c>
      <c r="G197" s="30">
        <v>839</v>
      </c>
    </row>
    <row r="198" spans="1:7" ht="12.75">
      <c r="A198" s="30">
        <v>821</v>
      </c>
      <c r="B198" s="31" t="s">
        <v>252</v>
      </c>
      <c r="C198" s="30">
        <v>1592</v>
      </c>
      <c r="D198" s="32"/>
      <c r="E198" s="33">
        <v>0</v>
      </c>
      <c r="F198" s="30">
        <v>0</v>
      </c>
      <c r="G198" s="30">
        <v>839</v>
      </c>
    </row>
    <row r="199" spans="1:7" ht="12.75">
      <c r="A199" s="30">
        <v>822</v>
      </c>
      <c r="B199" s="31" t="s">
        <v>253</v>
      </c>
      <c r="C199" s="30">
        <v>971</v>
      </c>
      <c r="D199" s="32"/>
      <c r="E199" s="33">
        <v>0</v>
      </c>
      <c r="F199" s="30">
        <v>0</v>
      </c>
      <c r="G199" s="30">
        <v>155</v>
      </c>
    </row>
    <row r="200" spans="1:7" ht="12.75">
      <c r="A200" s="30">
        <v>823</v>
      </c>
      <c r="B200" s="31" t="s">
        <v>254</v>
      </c>
      <c r="C200" s="30">
        <v>1700</v>
      </c>
      <c r="D200" s="32"/>
      <c r="E200" s="33">
        <v>0</v>
      </c>
      <c r="F200" s="30">
        <v>0</v>
      </c>
      <c r="G200" s="30">
        <v>657</v>
      </c>
    </row>
    <row r="201" spans="1:7" ht="12.75">
      <c r="A201" s="30">
        <v>824</v>
      </c>
      <c r="B201" s="31" t="s">
        <v>255</v>
      </c>
      <c r="C201" s="30">
        <v>1400</v>
      </c>
      <c r="D201" s="32"/>
      <c r="E201" s="33">
        <v>0</v>
      </c>
      <c r="F201" s="30">
        <v>0</v>
      </c>
      <c r="G201" s="30">
        <v>657</v>
      </c>
    </row>
    <row r="202" spans="1:7" ht="12.75">
      <c r="A202" s="30">
        <v>825</v>
      </c>
      <c r="B202" s="31" t="s">
        <v>256</v>
      </c>
      <c r="C202" s="30">
        <v>1300</v>
      </c>
      <c r="D202" s="32"/>
      <c r="E202" s="33">
        <v>0</v>
      </c>
      <c r="F202" s="30">
        <v>0</v>
      </c>
      <c r="G202" s="30">
        <v>657</v>
      </c>
    </row>
    <row r="203" spans="1:7" ht="12.75">
      <c r="A203" s="30">
        <v>826</v>
      </c>
      <c r="B203" s="31" t="s">
        <v>257</v>
      </c>
      <c r="C203" s="30">
        <v>1250</v>
      </c>
      <c r="D203" s="32"/>
      <c r="E203" s="33">
        <v>0</v>
      </c>
      <c r="F203" s="30">
        <v>0</v>
      </c>
      <c r="G203" s="30">
        <v>657</v>
      </c>
    </row>
    <row r="204" spans="1:7" ht="12.75">
      <c r="A204" s="30">
        <v>827</v>
      </c>
      <c r="B204" s="31" t="s">
        <v>258</v>
      </c>
      <c r="C204" s="30">
        <v>3146</v>
      </c>
      <c r="D204" s="32"/>
      <c r="E204" s="33">
        <v>0</v>
      </c>
      <c r="F204" s="30">
        <v>0</v>
      </c>
      <c r="G204" s="30">
        <v>0</v>
      </c>
    </row>
    <row r="205" spans="1:7" ht="12.75">
      <c r="A205" s="30">
        <v>828</v>
      </c>
      <c r="B205" s="31" t="s">
        <v>259</v>
      </c>
      <c r="C205" s="30">
        <v>2913</v>
      </c>
      <c r="D205" s="32"/>
      <c r="E205" s="33">
        <v>0</v>
      </c>
      <c r="F205" s="30">
        <v>0</v>
      </c>
      <c r="G205" s="30">
        <v>0</v>
      </c>
    </row>
    <row r="206" spans="1:7" ht="12.75">
      <c r="A206" s="30">
        <v>829</v>
      </c>
      <c r="B206" s="31" t="s">
        <v>260</v>
      </c>
      <c r="C206" s="30">
        <v>1942</v>
      </c>
      <c r="D206" s="32"/>
      <c r="E206" s="33">
        <v>0</v>
      </c>
      <c r="F206" s="30">
        <v>0</v>
      </c>
      <c r="G206" s="30">
        <v>0</v>
      </c>
    </row>
    <row r="207" spans="1:7" ht="12.75">
      <c r="A207" s="30">
        <v>830</v>
      </c>
      <c r="B207" s="31" t="s">
        <v>261</v>
      </c>
      <c r="C207" s="30">
        <v>1740</v>
      </c>
      <c r="D207" s="32"/>
      <c r="E207" s="33">
        <v>0</v>
      </c>
      <c r="F207" s="30">
        <v>0</v>
      </c>
      <c r="G207" s="30">
        <v>0</v>
      </c>
    </row>
    <row r="208" spans="1:7" ht="12.75">
      <c r="A208" s="30">
        <v>831</v>
      </c>
      <c r="B208" s="31" t="s">
        <v>262</v>
      </c>
      <c r="C208" s="30">
        <v>971</v>
      </c>
      <c r="D208" s="32"/>
      <c r="E208" s="33">
        <v>0</v>
      </c>
      <c r="F208" s="30">
        <v>0</v>
      </c>
      <c r="G208" s="30">
        <v>0</v>
      </c>
    </row>
    <row r="209" spans="1:7" ht="12.75">
      <c r="A209" s="30">
        <v>832</v>
      </c>
      <c r="B209" s="31" t="s">
        <v>263</v>
      </c>
      <c r="C209" s="30">
        <v>2913</v>
      </c>
      <c r="D209" s="32"/>
      <c r="E209" s="33">
        <v>0</v>
      </c>
      <c r="F209" s="30">
        <v>0</v>
      </c>
      <c r="G209" s="30">
        <v>0</v>
      </c>
    </row>
    <row r="210" spans="1:7" ht="12.75">
      <c r="A210" s="30">
        <v>833</v>
      </c>
      <c r="B210" s="31" t="s">
        <v>264</v>
      </c>
      <c r="C210" s="30">
        <v>971</v>
      </c>
      <c r="D210" s="32"/>
      <c r="E210" s="33">
        <v>0</v>
      </c>
      <c r="F210" s="30">
        <v>0</v>
      </c>
      <c r="G210" s="30">
        <v>155</v>
      </c>
    </row>
    <row r="211" spans="1:7" ht="12.75">
      <c r="A211" s="30">
        <v>834</v>
      </c>
      <c r="B211" s="31" t="s">
        <v>265</v>
      </c>
      <c r="C211" s="30">
        <v>971</v>
      </c>
      <c r="D211" s="32"/>
      <c r="E211" s="33">
        <v>0</v>
      </c>
      <c r="F211" s="30">
        <v>0</v>
      </c>
      <c r="G211" s="30">
        <v>155</v>
      </c>
    </row>
    <row r="212" spans="1:7" ht="12.75">
      <c r="A212" s="30">
        <v>835</v>
      </c>
      <c r="B212" s="31" t="s">
        <v>266</v>
      </c>
      <c r="C212" s="30">
        <v>971</v>
      </c>
      <c r="D212" s="32"/>
      <c r="E212" s="33">
        <v>0</v>
      </c>
      <c r="F212" s="30">
        <v>0</v>
      </c>
      <c r="G212" s="30">
        <v>0</v>
      </c>
    </row>
    <row r="213" spans="1:7" ht="12.75">
      <c r="A213" s="30">
        <v>836</v>
      </c>
      <c r="B213" s="31" t="s">
        <v>267</v>
      </c>
      <c r="C213" s="30">
        <v>971</v>
      </c>
      <c r="D213" s="32"/>
      <c r="E213" s="33">
        <v>0</v>
      </c>
      <c r="F213" s="30">
        <v>0</v>
      </c>
      <c r="G213" s="30">
        <v>155</v>
      </c>
    </row>
    <row r="214" spans="1:7" ht="12.75">
      <c r="A214" s="30">
        <v>837</v>
      </c>
      <c r="B214" s="31" t="s">
        <v>268</v>
      </c>
      <c r="C214" s="30">
        <v>971</v>
      </c>
      <c r="D214" s="32"/>
      <c r="E214" s="33">
        <v>0</v>
      </c>
      <c r="F214" s="30">
        <v>0</v>
      </c>
      <c r="G214" s="30">
        <v>155</v>
      </c>
    </row>
    <row r="215" spans="1:7" ht="12.75">
      <c r="A215" s="30">
        <v>839</v>
      </c>
      <c r="B215" s="31" t="s">
        <v>269</v>
      </c>
      <c r="C215" s="30">
        <v>971</v>
      </c>
      <c r="D215" s="32"/>
      <c r="E215" s="33">
        <v>0</v>
      </c>
      <c r="F215" s="30">
        <v>0</v>
      </c>
      <c r="G215" s="30">
        <v>155</v>
      </c>
    </row>
    <row r="216" spans="1:7" ht="12.75">
      <c r="A216" s="30">
        <v>840</v>
      </c>
      <c r="B216" s="31" t="s">
        <v>270</v>
      </c>
      <c r="C216" s="30">
        <v>971</v>
      </c>
      <c r="D216" s="32"/>
      <c r="E216" s="33">
        <v>0</v>
      </c>
      <c r="F216" s="30">
        <v>0</v>
      </c>
      <c r="G216" s="30">
        <v>155</v>
      </c>
    </row>
    <row r="217" spans="1:7" ht="12.75">
      <c r="A217" s="30">
        <v>842</v>
      </c>
      <c r="B217" s="31" t="s">
        <v>271</v>
      </c>
      <c r="C217" s="30">
        <v>1500</v>
      </c>
      <c r="D217" s="32"/>
      <c r="E217" s="33">
        <v>0</v>
      </c>
      <c r="F217" s="30">
        <v>0</v>
      </c>
      <c r="G217" s="30">
        <v>0</v>
      </c>
    </row>
    <row r="218" spans="1:7" ht="12.75">
      <c r="A218" s="30">
        <v>843</v>
      </c>
      <c r="B218" s="31" t="s">
        <v>272</v>
      </c>
      <c r="C218" s="30">
        <v>1250</v>
      </c>
      <c r="D218" s="32"/>
      <c r="E218" s="33">
        <v>0</v>
      </c>
      <c r="F218" s="30">
        <v>0</v>
      </c>
      <c r="G218" s="30">
        <v>0</v>
      </c>
    </row>
    <row r="219" spans="1:7" ht="12.75">
      <c r="A219" s="30">
        <v>844</v>
      </c>
      <c r="B219" s="31" t="s">
        <v>273</v>
      </c>
      <c r="C219" s="30">
        <v>1660</v>
      </c>
      <c r="D219" s="32"/>
      <c r="E219" s="33">
        <v>0</v>
      </c>
      <c r="F219" s="30">
        <v>0</v>
      </c>
      <c r="G219" s="30">
        <v>0</v>
      </c>
    </row>
    <row r="220" spans="1:7" ht="12.75">
      <c r="A220" s="30">
        <v>849</v>
      </c>
      <c r="B220" s="31" t="s">
        <v>274</v>
      </c>
      <c r="C220" s="30">
        <v>971</v>
      </c>
      <c r="D220" s="32"/>
      <c r="E220" s="33">
        <v>0</v>
      </c>
      <c r="F220" s="30">
        <v>0</v>
      </c>
      <c r="G220" s="30">
        <v>0</v>
      </c>
    </row>
    <row r="221" spans="1:7" ht="12.75">
      <c r="A221" s="30">
        <v>900</v>
      </c>
      <c r="B221" s="31" t="s">
        <v>275</v>
      </c>
      <c r="C221" s="30">
        <v>3146</v>
      </c>
      <c r="D221" s="32"/>
      <c r="E221" s="33">
        <v>0</v>
      </c>
      <c r="F221" s="30">
        <v>0</v>
      </c>
      <c r="G221" s="30">
        <v>0</v>
      </c>
    </row>
    <row r="222" spans="1:7" ht="12.75">
      <c r="A222" s="30">
        <v>901</v>
      </c>
      <c r="B222" s="31" t="s">
        <v>276</v>
      </c>
      <c r="C222" s="30">
        <v>2913</v>
      </c>
      <c r="D222" s="32"/>
      <c r="E222" s="33">
        <v>0</v>
      </c>
      <c r="F222" s="30">
        <v>0</v>
      </c>
      <c r="G222" s="30">
        <v>0</v>
      </c>
    </row>
    <row r="223" spans="1:7" ht="12.75">
      <c r="A223" s="30">
        <v>902</v>
      </c>
      <c r="B223" s="31" t="s">
        <v>277</v>
      </c>
      <c r="C223" s="30">
        <v>2913</v>
      </c>
      <c r="D223" s="32"/>
      <c r="E223" s="33">
        <v>20</v>
      </c>
      <c r="F223" s="30">
        <v>0</v>
      </c>
      <c r="G223" s="30">
        <v>0</v>
      </c>
    </row>
    <row r="224" spans="1:7" ht="12.75">
      <c r="A224" s="30">
        <v>903</v>
      </c>
      <c r="B224" s="31" t="s">
        <v>278</v>
      </c>
      <c r="C224" s="30">
        <v>2913</v>
      </c>
      <c r="D224" s="32"/>
      <c r="E224" s="33">
        <v>0</v>
      </c>
      <c r="F224" s="30">
        <v>0</v>
      </c>
      <c r="G224" s="30">
        <v>0</v>
      </c>
    </row>
    <row r="225" spans="1:7" ht="12.75">
      <c r="A225" s="30">
        <v>904</v>
      </c>
      <c r="B225" s="31" t="s">
        <v>279</v>
      </c>
      <c r="C225" s="30">
        <v>2100</v>
      </c>
      <c r="D225" s="32"/>
      <c r="E225" s="33">
        <v>0</v>
      </c>
      <c r="F225" s="30">
        <v>0</v>
      </c>
      <c r="G225" s="30">
        <v>0</v>
      </c>
    </row>
    <row r="226" spans="1:7" ht="12.75">
      <c r="A226" s="30">
        <v>905</v>
      </c>
      <c r="B226" s="31" t="s">
        <v>280</v>
      </c>
      <c r="C226" s="30">
        <v>1800</v>
      </c>
      <c r="D226" s="32"/>
      <c r="E226" s="33">
        <v>0</v>
      </c>
      <c r="F226" s="30">
        <v>0</v>
      </c>
      <c r="G226" s="30">
        <v>0</v>
      </c>
    </row>
    <row r="227" spans="1:7" ht="12.75">
      <c r="A227" s="30">
        <v>906</v>
      </c>
      <c r="B227" s="31" t="s">
        <v>281</v>
      </c>
      <c r="C227" s="30">
        <v>1942</v>
      </c>
      <c r="D227" s="32"/>
      <c r="E227" s="33">
        <v>0</v>
      </c>
      <c r="F227" s="30">
        <v>0</v>
      </c>
      <c r="G227" s="30">
        <v>0</v>
      </c>
    </row>
    <row r="228" spans="1:7" ht="12.75">
      <c r="A228" s="30">
        <v>907</v>
      </c>
      <c r="B228" s="31" t="s">
        <v>282</v>
      </c>
      <c r="C228" s="30">
        <v>1782</v>
      </c>
      <c r="D228" s="32"/>
      <c r="E228" s="33">
        <v>0</v>
      </c>
      <c r="F228" s="30">
        <v>0</v>
      </c>
      <c r="G228" s="30">
        <v>0</v>
      </c>
    </row>
    <row r="229" spans="1:7" ht="12.75">
      <c r="A229" s="30">
        <v>908</v>
      </c>
      <c r="B229" s="31" t="s">
        <v>283</v>
      </c>
      <c r="C229" s="30">
        <v>1692</v>
      </c>
      <c r="D229" s="32"/>
      <c r="E229" s="33">
        <v>0</v>
      </c>
      <c r="F229" s="30">
        <v>0</v>
      </c>
      <c r="G229" s="30">
        <v>0</v>
      </c>
    </row>
    <row r="230" spans="1:7" ht="12.75">
      <c r="A230" s="30">
        <v>909</v>
      </c>
      <c r="B230" s="31" t="s">
        <v>284</v>
      </c>
      <c r="C230" s="30">
        <v>1592</v>
      </c>
      <c r="D230" s="32"/>
      <c r="E230" s="33">
        <v>0</v>
      </c>
      <c r="F230" s="30">
        <v>0</v>
      </c>
      <c r="G230" s="30">
        <v>0</v>
      </c>
    </row>
    <row r="231" spans="1:7" ht="12.75">
      <c r="A231" s="30">
        <v>910</v>
      </c>
      <c r="B231" s="31" t="s">
        <v>168</v>
      </c>
      <c r="C231" s="30">
        <v>1942</v>
      </c>
      <c r="D231" s="32"/>
      <c r="E231" s="33">
        <v>150</v>
      </c>
      <c r="F231" s="30">
        <v>0</v>
      </c>
      <c r="G231" s="30">
        <v>0</v>
      </c>
    </row>
    <row r="232" spans="1:7" ht="12.75">
      <c r="A232" s="30">
        <v>911</v>
      </c>
      <c r="B232" s="31" t="s">
        <v>178</v>
      </c>
      <c r="C232" s="30">
        <v>1592</v>
      </c>
      <c r="D232" s="32"/>
      <c r="E232" s="33">
        <v>0</v>
      </c>
      <c r="F232" s="30">
        <v>0</v>
      </c>
      <c r="G232" s="30">
        <v>0</v>
      </c>
    </row>
    <row r="233" spans="1:7" ht="12.75">
      <c r="A233" s="30">
        <v>912</v>
      </c>
      <c r="B233" s="31" t="s">
        <v>285</v>
      </c>
      <c r="C233" s="30">
        <v>1782</v>
      </c>
      <c r="D233" s="32"/>
      <c r="E233" s="33">
        <v>17</v>
      </c>
      <c r="F233" s="30">
        <v>0</v>
      </c>
      <c r="G233" s="30">
        <v>0</v>
      </c>
    </row>
    <row r="234" spans="1:7" ht="12.75">
      <c r="A234" s="30">
        <v>913</v>
      </c>
      <c r="B234" s="31" t="s">
        <v>286</v>
      </c>
      <c r="C234" s="30">
        <v>1700</v>
      </c>
      <c r="D234" s="32"/>
      <c r="E234" s="33">
        <v>0</v>
      </c>
      <c r="F234" s="30">
        <v>0</v>
      </c>
      <c r="G234" s="30">
        <v>0</v>
      </c>
    </row>
    <row r="235" spans="1:7" ht="12.75">
      <c r="A235" s="30">
        <v>914</v>
      </c>
      <c r="B235" s="31" t="s">
        <v>287</v>
      </c>
      <c r="C235" s="30">
        <v>1600</v>
      </c>
      <c r="D235" s="32"/>
      <c r="E235" s="33">
        <v>0</v>
      </c>
      <c r="F235" s="30">
        <v>0</v>
      </c>
      <c r="G235" s="30">
        <v>0</v>
      </c>
    </row>
    <row r="236" spans="1:7" ht="12.75">
      <c r="A236" s="30">
        <v>915</v>
      </c>
      <c r="B236" s="31" t="s">
        <v>288</v>
      </c>
      <c r="C236" s="30">
        <v>1700</v>
      </c>
      <c r="D236" s="32"/>
      <c r="E236" s="33">
        <v>150</v>
      </c>
      <c r="F236" s="30">
        <v>0</v>
      </c>
      <c r="G236" s="30">
        <v>0</v>
      </c>
    </row>
    <row r="237" spans="1:7" ht="12.75">
      <c r="A237" s="30">
        <v>916</v>
      </c>
      <c r="B237" s="31" t="s">
        <v>289</v>
      </c>
      <c r="C237" s="30">
        <v>1300</v>
      </c>
      <c r="D237" s="32"/>
      <c r="E237" s="33">
        <v>0</v>
      </c>
      <c r="F237" s="30">
        <v>0</v>
      </c>
      <c r="G237" s="30">
        <v>0</v>
      </c>
    </row>
    <row r="238" spans="1:7" ht="12.75">
      <c r="A238" s="30">
        <v>917</v>
      </c>
      <c r="B238" s="31" t="s">
        <v>290</v>
      </c>
      <c r="C238" s="30">
        <v>971</v>
      </c>
      <c r="D238" s="32"/>
      <c r="E238" s="33">
        <v>0</v>
      </c>
      <c r="F238" s="30">
        <v>0</v>
      </c>
      <c r="G238" s="30">
        <v>0</v>
      </c>
    </row>
    <row r="239" spans="1:7" ht="12.75">
      <c r="A239" s="30">
        <v>918</v>
      </c>
      <c r="B239" s="31" t="s">
        <v>186</v>
      </c>
      <c r="C239" s="30">
        <v>971</v>
      </c>
      <c r="D239" s="32"/>
      <c r="E239" s="33">
        <v>150</v>
      </c>
      <c r="F239" s="30">
        <v>0</v>
      </c>
      <c r="G239" s="30">
        <v>0</v>
      </c>
    </row>
    <row r="240" spans="1:7" ht="12.75">
      <c r="A240" s="30">
        <v>919</v>
      </c>
      <c r="B240" s="31" t="s">
        <v>291</v>
      </c>
      <c r="C240" s="30">
        <v>971</v>
      </c>
      <c r="D240" s="32"/>
      <c r="E240" s="33">
        <v>17</v>
      </c>
      <c r="F240" s="30">
        <v>0</v>
      </c>
      <c r="G240" s="30">
        <v>0</v>
      </c>
    </row>
    <row r="241" spans="1:7" ht="12.75">
      <c r="A241" s="30">
        <v>920</v>
      </c>
      <c r="B241" s="31" t="s">
        <v>292</v>
      </c>
      <c r="C241" s="30">
        <v>971</v>
      </c>
      <c r="D241" s="32"/>
      <c r="E241" s="33">
        <v>150</v>
      </c>
      <c r="F241" s="30">
        <v>0</v>
      </c>
      <c r="G241" s="30">
        <v>0</v>
      </c>
    </row>
    <row r="242" spans="1:7" ht="12.75">
      <c r="A242" s="30">
        <v>921</v>
      </c>
      <c r="B242" s="31" t="s">
        <v>293</v>
      </c>
      <c r="C242" s="30">
        <v>971</v>
      </c>
      <c r="D242" s="32"/>
      <c r="E242" s="33">
        <v>0</v>
      </c>
      <c r="F242" s="30">
        <v>0</v>
      </c>
      <c r="G242" s="30">
        <v>0</v>
      </c>
    </row>
    <row r="243" spans="1:7" ht="12.75">
      <c r="A243" s="30">
        <v>922</v>
      </c>
      <c r="B243" s="31" t="s">
        <v>294</v>
      </c>
      <c r="C243" s="30">
        <v>971</v>
      </c>
      <c r="D243" s="32"/>
      <c r="E243" s="33">
        <v>0</v>
      </c>
      <c r="F243" s="30">
        <v>0</v>
      </c>
      <c r="G243" s="30">
        <v>0</v>
      </c>
    </row>
    <row r="244" spans="1:7" ht="12.75">
      <c r="A244" s="30">
        <v>923</v>
      </c>
      <c r="B244" s="31" t="s">
        <v>295</v>
      </c>
      <c r="C244" s="30">
        <v>971</v>
      </c>
      <c r="D244" s="32"/>
      <c r="E244" s="33">
        <v>0</v>
      </c>
      <c r="F244" s="30">
        <v>0</v>
      </c>
      <c r="G244" s="30">
        <v>0</v>
      </c>
    </row>
    <row r="245" spans="1:7" ht="12.75">
      <c r="A245" s="30">
        <v>924</v>
      </c>
      <c r="B245" s="31" t="s">
        <v>296</v>
      </c>
      <c r="C245" s="30">
        <v>971</v>
      </c>
      <c r="D245" s="32"/>
      <c r="E245" s="33">
        <v>150</v>
      </c>
      <c r="F245" s="30">
        <v>0</v>
      </c>
      <c r="G245" s="30">
        <v>0</v>
      </c>
    </row>
    <row r="246" spans="1:7" ht="12.75">
      <c r="A246" s="30">
        <v>925</v>
      </c>
      <c r="B246" s="31" t="s">
        <v>88</v>
      </c>
      <c r="C246" s="30">
        <v>971</v>
      </c>
      <c r="D246" s="32"/>
      <c r="E246" s="33">
        <v>0</v>
      </c>
      <c r="F246" s="30">
        <v>0</v>
      </c>
      <c r="G246" s="30">
        <v>0</v>
      </c>
    </row>
    <row r="247" spans="1:7" ht="12.75">
      <c r="A247" s="30">
        <v>926</v>
      </c>
      <c r="B247" s="31" t="s">
        <v>210</v>
      </c>
      <c r="C247" s="30">
        <v>1500</v>
      </c>
      <c r="D247" s="32"/>
      <c r="E247" s="33">
        <v>150</v>
      </c>
      <c r="F247" s="30">
        <v>0</v>
      </c>
      <c r="G247" s="30">
        <v>0</v>
      </c>
    </row>
    <row r="248" spans="1:7" ht="12.75">
      <c r="A248" s="30">
        <v>928</v>
      </c>
      <c r="B248" s="31" t="s">
        <v>181</v>
      </c>
      <c r="C248" s="30">
        <v>1500</v>
      </c>
      <c r="D248" s="32"/>
      <c r="E248" s="33">
        <v>150</v>
      </c>
      <c r="F248" s="30">
        <v>0</v>
      </c>
      <c r="G248" s="30">
        <v>0</v>
      </c>
    </row>
    <row r="249" spans="1:7" ht="12.75">
      <c r="A249" s="30">
        <v>929</v>
      </c>
      <c r="B249" s="31" t="s">
        <v>297</v>
      </c>
      <c r="C249" s="30">
        <v>971</v>
      </c>
      <c r="D249" s="32"/>
      <c r="E249" s="33">
        <v>150</v>
      </c>
      <c r="F249" s="30">
        <v>0</v>
      </c>
      <c r="G249" s="30">
        <v>0</v>
      </c>
    </row>
    <row r="250" spans="1:7" ht="12.75">
      <c r="A250" s="30">
        <v>930</v>
      </c>
      <c r="B250" s="31" t="s">
        <v>298</v>
      </c>
      <c r="C250" s="30">
        <v>1592</v>
      </c>
      <c r="D250" s="32"/>
      <c r="E250" s="33">
        <v>0</v>
      </c>
      <c r="F250" s="30">
        <v>0</v>
      </c>
      <c r="G250" s="30">
        <v>0</v>
      </c>
    </row>
    <row r="251" spans="1:7" ht="12.75">
      <c r="A251" s="30">
        <v>931</v>
      </c>
      <c r="B251" s="31" t="s">
        <v>299</v>
      </c>
      <c r="C251" s="30">
        <v>971</v>
      </c>
      <c r="D251" s="32"/>
      <c r="E251" s="33">
        <v>0</v>
      </c>
      <c r="F251" s="30">
        <v>0</v>
      </c>
      <c r="G251" s="30">
        <v>0</v>
      </c>
    </row>
    <row r="252" spans="1:7" ht="12.75">
      <c r="A252" s="30">
        <v>932</v>
      </c>
      <c r="B252" s="31" t="s">
        <v>300</v>
      </c>
      <c r="C252" s="30">
        <v>2220</v>
      </c>
      <c r="D252" s="32"/>
      <c r="E252" s="33">
        <v>0</v>
      </c>
      <c r="F252" s="30">
        <v>0</v>
      </c>
      <c r="G252" s="30">
        <v>0</v>
      </c>
    </row>
    <row r="253" spans="1:7" ht="12.75">
      <c r="A253" s="41">
        <v>933</v>
      </c>
      <c r="B253" s="42" t="s">
        <v>301</v>
      </c>
      <c r="C253" s="41">
        <v>1580</v>
      </c>
      <c r="D253" s="32"/>
      <c r="E253" s="43">
        <v>0</v>
      </c>
      <c r="F253" s="41">
        <v>0</v>
      </c>
      <c r="G253" s="41">
        <v>0</v>
      </c>
    </row>
    <row r="254" spans="1:7" ht="12.75">
      <c r="A254" s="30">
        <v>934</v>
      </c>
      <c r="B254" s="31" t="s">
        <v>302</v>
      </c>
      <c r="C254" s="30">
        <v>922</v>
      </c>
      <c r="D254" s="32"/>
      <c r="E254" s="33">
        <v>0</v>
      </c>
      <c r="F254" s="30">
        <v>0</v>
      </c>
      <c r="G254" s="30">
        <v>0</v>
      </c>
    </row>
    <row r="255" spans="1:7" ht="12.75">
      <c r="A255" s="30">
        <v>935</v>
      </c>
      <c r="B255" s="31" t="s">
        <v>303</v>
      </c>
      <c r="C255" s="30">
        <v>971</v>
      </c>
      <c r="D255" s="32"/>
      <c r="E255" s="33">
        <v>0</v>
      </c>
      <c r="F255" s="30">
        <v>0</v>
      </c>
      <c r="G255" s="30">
        <v>0</v>
      </c>
    </row>
    <row r="256" spans="1:7" ht="12.75">
      <c r="A256" s="30">
        <v>936</v>
      </c>
      <c r="B256" s="31" t="s">
        <v>304</v>
      </c>
      <c r="C256" s="30">
        <v>1250</v>
      </c>
      <c r="D256" s="32"/>
      <c r="E256" s="33">
        <v>0</v>
      </c>
      <c r="F256" s="30">
        <v>0</v>
      </c>
      <c r="G256" s="30">
        <v>0</v>
      </c>
    </row>
    <row r="257" spans="1:7" ht="12.75">
      <c r="A257" s="38">
        <v>937</v>
      </c>
      <c r="B257" s="39" t="s">
        <v>305</v>
      </c>
      <c r="C257" s="38">
        <v>971</v>
      </c>
      <c r="D257" s="32"/>
      <c r="E257" s="40">
        <v>0</v>
      </c>
      <c r="F257" s="38">
        <v>0</v>
      </c>
      <c r="G257" s="38">
        <v>0</v>
      </c>
    </row>
    <row r="258" spans="1:7" ht="12.75">
      <c r="A258" s="30">
        <v>940</v>
      </c>
      <c r="B258" s="31" t="s">
        <v>306</v>
      </c>
      <c r="C258" s="30">
        <v>1692</v>
      </c>
      <c r="D258" s="32"/>
      <c r="E258" s="33">
        <v>0</v>
      </c>
      <c r="F258" s="30">
        <v>0</v>
      </c>
      <c r="G258" s="30">
        <v>0</v>
      </c>
    </row>
    <row r="259" spans="1:7" ht="12.75">
      <c r="A259" s="30">
        <v>941</v>
      </c>
      <c r="B259" s="31" t="s">
        <v>307</v>
      </c>
      <c r="C259" s="30">
        <v>1942</v>
      </c>
      <c r="D259" s="32"/>
      <c r="E259" s="33">
        <v>0</v>
      </c>
      <c r="F259" s="30">
        <v>0</v>
      </c>
      <c r="G259" s="30">
        <v>0</v>
      </c>
    </row>
    <row r="260" spans="1:7" ht="12.75">
      <c r="A260" s="30">
        <v>942</v>
      </c>
      <c r="B260" s="31" t="s">
        <v>308</v>
      </c>
      <c r="C260" s="30">
        <v>1782</v>
      </c>
      <c r="D260" s="32"/>
      <c r="E260" s="33">
        <v>0</v>
      </c>
      <c r="F260" s="30">
        <v>0</v>
      </c>
      <c r="G260" s="30">
        <v>0</v>
      </c>
    </row>
    <row r="261" spans="1:7" ht="12.75">
      <c r="A261" s="30">
        <v>943</v>
      </c>
      <c r="B261" s="31" t="s">
        <v>209</v>
      </c>
      <c r="C261" s="30">
        <v>1500</v>
      </c>
      <c r="D261" s="32"/>
      <c r="E261" s="33">
        <v>150</v>
      </c>
      <c r="F261" s="30">
        <v>0</v>
      </c>
      <c r="G261" s="30">
        <v>0</v>
      </c>
    </row>
    <row r="262" spans="1:7" ht="12.75">
      <c r="A262" s="30">
        <v>944</v>
      </c>
      <c r="B262" s="31" t="s">
        <v>309</v>
      </c>
      <c r="C262" s="30">
        <v>1400</v>
      </c>
      <c r="D262" s="32"/>
      <c r="E262" s="33">
        <v>0</v>
      </c>
      <c r="F262" s="30">
        <v>0</v>
      </c>
      <c r="G262" s="30">
        <v>0</v>
      </c>
    </row>
    <row r="263" spans="1:7" ht="12.75">
      <c r="A263" s="30">
        <v>945</v>
      </c>
      <c r="B263" s="31" t="s">
        <v>310</v>
      </c>
      <c r="C263" s="30">
        <v>1782</v>
      </c>
      <c r="D263" s="32"/>
      <c r="E263" s="33">
        <v>0</v>
      </c>
      <c r="F263" s="30">
        <v>0</v>
      </c>
      <c r="G263" s="30">
        <v>669</v>
      </c>
    </row>
    <row r="264" spans="1:7" ht="12.75">
      <c r="A264" s="30">
        <v>946</v>
      </c>
      <c r="B264" s="31" t="s">
        <v>244</v>
      </c>
      <c r="C264" s="30">
        <v>971</v>
      </c>
      <c r="D264" s="32"/>
      <c r="E264" s="33">
        <v>0</v>
      </c>
      <c r="F264" s="30">
        <v>0</v>
      </c>
      <c r="G264" s="30">
        <v>620</v>
      </c>
    </row>
    <row r="265" spans="1:7" ht="12.75">
      <c r="A265" s="30">
        <v>947</v>
      </c>
      <c r="B265" s="31" t="s">
        <v>311</v>
      </c>
      <c r="C265" s="30">
        <v>971</v>
      </c>
      <c r="D265" s="32"/>
      <c r="E265" s="33">
        <v>0</v>
      </c>
      <c r="F265" s="30">
        <v>0</v>
      </c>
      <c r="G265" s="30">
        <v>155</v>
      </c>
    </row>
    <row r="266" spans="1:7" ht="12.75">
      <c r="A266" s="30">
        <v>951</v>
      </c>
      <c r="B266" s="31" t="s">
        <v>196</v>
      </c>
      <c r="C266" s="30">
        <v>1500</v>
      </c>
      <c r="D266" s="32"/>
      <c r="E266" s="33">
        <v>150</v>
      </c>
      <c r="F266" s="30">
        <v>0</v>
      </c>
      <c r="G266" s="30">
        <v>0</v>
      </c>
    </row>
    <row r="267" spans="1:7" ht="12.75">
      <c r="A267" s="30">
        <v>952</v>
      </c>
      <c r="B267" s="31" t="s">
        <v>312</v>
      </c>
      <c r="C267" s="30">
        <v>971</v>
      </c>
      <c r="D267" s="32"/>
      <c r="E267" s="33">
        <v>0</v>
      </c>
      <c r="F267" s="30">
        <v>0</v>
      </c>
      <c r="G267" s="30">
        <v>155</v>
      </c>
    </row>
    <row r="268" spans="1:7" ht="12.75">
      <c r="A268" s="30">
        <v>953</v>
      </c>
      <c r="B268" s="31" t="s">
        <v>313</v>
      </c>
      <c r="C268" s="30">
        <v>971</v>
      </c>
      <c r="D268" s="32"/>
      <c r="E268" s="33">
        <v>0</v>
      </c>
      <c r="F268" s="30">
        <v>0</v>
      </c>
      <c r="G268" s="30">
        <v>155</v>
      </c>
    </row>
    <row r="269" spans="1:7" ht="12.75">
      <c r="A269" s="30">
        <v>954</v>
      </c>
      <c r="B269" s="31" t="s">
        <v>314</v>
      </c>
      <c r="C269" s="30">
        <v>1600</v>
      </c>
      <c r="D269" s="32"/>
      <c r="E269" s="33">
        <v>0</v>
      </c>
      <c r="F269" s="30">
        <v>0</v>
      </c>
      <c r="G269" s="30">
        <v>657</v>
      </c>
    </row>
    <row r="270" spans="1:7" ht="12.75">
      <c r="A270" s="30">
        <v>955</v>
      </c>
      <c r="B270" s="31" t="s">
        <v>230</v>
      </c>
      <c r="C270" s="30">
        <v>971</v>
      </c>
      <c r="D270" s="32"/>
      <c r="E270" s="33">
        <v>0</v>
      </c>
      <c r="F270" s="30">
        <v>0</v>
      </c>
      <c r="G270" s="30">
        <v>0</v>
      </c>
    </row>
    <row r="271" spans="1:7" ht="12.75">
      <c r="A271" s="30">
        <v>956</v>
      </c>
      <c r="B271" s="31" t="s">
        <v>315</v>
      </c>
      <c r="C271" s="30">
        <v>1692</v>
      </c>
      <c r="D271" s="32"/>
      <c r="E271" s="33">
        <v>0</v>
      </c>
      <c r="F271" s="30">
        <v>0</v>
      </c>
      <c r="G271" s="30">
        <v>663</v>
      </c>
    </row>
    <row r="272" spans="1:7" ht="12.75">
      <c r="A272" s="30">
        <v>957</v>
      </c>
      <c r="B272" s="31" t="s">
        <v>316</v>
      </c>
      <c r="C272" s="30">
        <v>1700</v>
      </c>
      <c r="D272" s="32"/>
      <c r="E272" s="33">
        <v>0</v>
      </c>
      <c r="F272" s="30">
        <v>0</v>
      </c>
      <c r="G272" s="30">
        <v>0</v>
      </c>
    </row>
    <row r="273" spans="1:7" ht="12.75">
      <c r="A273" s="30">
        <v>958</v>
      </c>
      <c r="B273" s="31" t="s">
        <v>317</v>
      </c>
      <c r="C273" s="30">
        <v>2913</v>
      </c>
      <c r="D273" s="32"/>
      <c r="E273" s="33">
        <v>0</v>
      </c>
      <c r="F273" s="30">
        <v>0</v>
      </c>
      <c r="G273" s="30">
        <v>0</v>
      </c>
    </row>
    <row r="274" spans="1:7" ht="12.75">
      <c r="A274" s="30">
        <v>959</v>
      </c>
      <c r="B274" s="31" t="s">
        <v>318</v>
      </c>
      <c r="C274" s="30">
        <v>2220</v>
      </c>
      <c r="D274" s="32"/>
      <c r="E274" s="33">
        <v>0</v>
      </c>
      <c r="F274" s="30">
        <v>0</v>
      </c>
      <c r="G274" s="30">
        <v>0</v>
      </c>
    </row>
    <row r="275" spans="1:7" ht="12.75">
      <c r="A275" s="30">
        <v>960</v>
      </c>
      <c r="B275" s="31" t="s">
        <v>319</v>
      </c>
      <c r="C275" s="30">
        <v>1750</v>
      </c>
      <c r="D275" s="32"/>
      <c r="E275" s="33">
        <v>0</v>
      </c>
      <c r="F275" s="30">
        <v>0</v>
      </c>
      <c r="G275" s="30">
        <v>0</v>
      </c>
    </row>
    <row r="276" spans="1:7" ht="12.75">
      <c r="A276" s="30">
        <v>961</v>
      </c>
      <c r="B276" s="31" t="s">
        <v>320</v>
      </c>
      <c r="C276" s="30">
        <v>1580</v>
      </c>
      <c r="D276" s="32"/>
      <c r="E276" s="33">
        <v>0</v>
      </c>
      <c r="F276" s="30">
        <v>0</v>
      </c>
      <c r="G276" s="30">
        <v>0</v>
      </c>
    </row>
    <row r="277" spans="1:7" ht="12.75">
      <c r="A277" s="30">
        <v>962</v>
      </c>
      <c r="B277" s="31" t="s">
        <v>321</v>
      </c>
      <c r="C277" s="30">
        <v>1580</v>
      </c>
      <c r="D277" s="32"/>
      <c r="E277" s="33">
        <v>0</v>
      </c>
      <c r="F277" s="30">
        <v>0</v>
      </c>
      <c r="G277" s="30">
        <v>0</v>
      </c>
    </row>
    <row r="278" spans="1:7" ht="12.75">
      <c r="A278" s="30">
        <v>963</v>
      </c>
      <c r="B278" s="31" t="s">
        <v>322</v>
      </c>
      <c r="C278" s="30">
        <v>951</v>
      </c>
      <c r="D278" s="32"/>
      <c r="E278" s="33">
        <v>0</v>
      </c>
      <c r="F278" s="30">
        <v>0</v>
      </c>
      <c r="G278" s="30">
        <v>0</v>
      </c>
    </row>
    <row r="279" spans="1:7" ht="12.75">
      <c r="A279" s="30">
        <v>965</v>
      </c>
      <c r="B279" s="31" t="s">
        <v>323</v>
      </c>
      <c r="C279" s="30">
        <v>2913</v>
      </c>
      <c r="D279" s="32"/>
      <c r="E279" s="33">
        <v>0</v>
      </c>
      <c r="F279" s="30">
        <v>0</v>
      </c>
      <c r="G279" s="30">
        <v>0</v>
      </c>
    </row>
    <row r="280" spans="1:7" ht="12.75">
      <c r="A280" s="30">
        <v>966</v>
      </c>
      <c r="B280" s="31" t="s">
        <v>324</v>
      </c>
      <c r="C280" s="30">
        <v>1850</v>
      </c>
      <c r="D280" s="32"/>
      <c r="E280" s="33">
        <v>0</v>
      </c>
      <c r="F280" s="30">
        <v>0</v>
      </c>
      <c r="G280" s="30">
        <v>0</v>
      </c>
    </row>
    <row r="281" spans="1:7" ht="12.75">
      <c r="A281" s="30">
        <v>967</v>
      </c>
      <c r="B281" s="31" t="s">
        <v>325</v>
      </c>
      <c r="C281" s="30">
        <v>1564</v>
      </c>
      <c r="D281" s="32"/>
      <c r="E281" s="33">
        <v>0</v>
      </c>
      <c r="F281" s="30">
        <v>0</v>
      </c>
      <c r="G281" s="30">
        <v>0</v>
      </c>
    </row>
    <row r="282" spans="1:7" ht="12.75">
      <c r="A282" s="30">
        <v>968</v>
      </c>
      <c r="B282" s="31" t="s">
        <v>271</v>
      </c>
      <c r="C282" s="30">
        <v>1500</v>
      </c>
      <c r="D282" s="32"/>
      <c r="E282" s="33">
        <v>0</v>
      </c>
      <c r="F282" s="30">
        <v>0</v>
      </c>
      <c r="G282" s="30">
        <v>0</v>
      </c>
    </row>
    <row r="283" spans="1:7" ht="12.75">
      <c r="A283" s="30">
        <v>969</v>
      </c>
      <c r="B283" s="31" t="s">
        <v>326</v>
      </c>
      <c r="C283" s="30">
        <v>971</v>
      </c>
      <c r="D283" s="32"/>
      <c r="E283" s="33">
        <v>150</v>
      </c>
      <c r="F283" s="30">
        <v>0</v>
      </c>
      <c r="G283" s="30">
        <v>0</v>
      </c>
    </row>
    <row r="284" spans="1:7" ht="12.75">
      <c r="A284" s="30">
        <v>970</v>
      </c>
      <c r="B284" s="31" t="s">
        <v>327</v>
      </c>
      <c r="C284" s="30">
        <v>1480</v>
      </c>
      <c r="D284" s="32"/>
      <c r="E284" s="33">
        <v>0</v>
      </c>
      <c r="F284" s="30">
        <v>0</v>
      </c>
      <c r="G284" s="30">
        <v>0</v>
      </c>
    </row>
    <row r="285" spans="1:7" ht="12.75">
      <c r="A285" s="30">
        <v>971</v>
      </c>
      <c r="B285" s="31" t="s">
        <v>328</v>
      </c>
      <c r="C285" s="30">
        <v>1400</v>
      </c>
      <c r="D285" s="32"/>
      <c r="E285" s="33">
        <v>150</v>
      </c>
      <c r="F285" s="30">
        <v>0</v>
      </c>
      <c r="G285" s="30">
        <v>0</v>
      </c>
    </row>
    <row r="286" spans="1:7" ht="12.75">
      <c r="A286" s="30">
        <v>972</v>
      </c>
      <c r="B286" s="31" t="s">
        <v>329</v>
      </c>
      <c r="C286" s="30">
        <v>1692</v>
      </c>
      <c r="D286" s="32"/>
      <c r="E286" s="33">
        <v>17</v>
      </c>
      <c r="F286" s="30">
        <v>0</v>
      </c>
      <c r="G286" s="30">
        <v>0</v>
      </c>
    </row>
    <row r="287" spans="1:7" ht="12.75">
      <c r="A287" s="30">
        <v>973</v>
      </c>
      <c r="B287" s="31" t="s">
        <v>330</v>
      </c>
      <c r="C287" s="30">
        <v>1592</v>
      </c>
      <c r="D287" s="32"/>
      <c r="E287" s="33">
        <v>17</v>
      </c>
      <c r="F287" s="30">
        <v>0</v>
      </c>
      <c r="G287" s="30">
        <v>0</v>
      </c>
    </row>
    <row r="288" spans="1:7" ht="12.75">
      <c r="A288" s="30">
        <v>974</v>
      </c>
      <c r="B288" s="31" t="s">
        <v>331</v>
      </c>
      <c r="C288" s="30">
        <v>1500</v>
      </c>
      <c r="D288" s="32"/>
      <c r="E288" s="33">
        <v>150</v>
      </c>
      <c r="F288" s="30">
        <v>0</v>
      </c>
      <c r="G288" s="30">
        <v>0</v>
      </c>
    </row>
    <row r="289" spans="1:7" ht="12.75">
      <c r="A289" s="30">
        <v>975</v>
      </c>
      <c r="B289" s="31" t="s">
        <v>332</v>
      </c>
      <c r="C289" s="30">
        <v>971</v>
      </c>
      <c r="D289" s="32"/>
      <c r="E289" s="33">
        <v>0</v>
      </c>
      <c r="F289" s="30">
        <v>0</v>
      </c>
      <c r="G289" s="30">
        <v>0</v>
      </c>
    </row>
    <row r="290" spans="1:7" ht="12.75">
      <c r="A290" s="30">
        <v>976</v>
      </c>
      <c r="B290" s="31" t="s">
        <v>333</v>
      </c>
      <c r="C290" s="30">
        <v>971</v>
      </c>
      <c r="D290" s="32"/>
      <c r="E290" s="33">
        <v>0</v>
      </c>
      <c r="F290" s="30">
        <v>0</v>
      </c>
      <c r="G290" s="30">
        <v>0</v>
      </c>
    </row>
    <row r="291" spans="1:7" ht="12.75">
      <c r="A291" s="30">
        <v>977</v>
      </c>
      <c r="B291" s="31" t="s">
        <v>334</v>
      </c>
      <c r="C291" s="30">
        <v>971</v>
      </c>
      <c r="D291" s="32"/>
      <c r="E291" s="33">
        <v>0</v>
      </c>
      <c r="F291" s="30">
        <v>0</v>
      </c>
      <c r="G291" s="30">
        <v>0</v>
      </c>
    </row>
    <row r="292" spans="1:7" ht="12.75">
      <c r="A292" s="30">
        <v>978</v>
      </c>
      <c r="B292" s="31" t="s">
        <v>335</v>
      </c>
      <c r="C292" s="30">
        <v>1840</v>
      </c>
      <c r="D292" s="32"/>
      <c r="E292" s="33">
        <v>0</v>
      </c>
      <c r="F292" s="30">
        <v>0</v>
      </c>
      <c r="G292" s="30">
        <v>0</v>
      </c>
    </row>
    <row r="293" spans="1:7" ht="12.75">
      <c r="A293" s="30">
        <v>979</v>
      </c>
      <c r="B293" s="31" t="s">
        <v>336</v>
      </c>
      <c r="C293" s="30">
        <v>1740</v>
      </c>
      <c r="D293" s="32"/>
      <c r="E293" s="33">
        <v>0</v>
      </c>
      <c r="F293" s="30">
        <v>0</v>
      </c>
      <c r="G293" s="30">
        <v>0</v>
      </c>
    </row>
    <row r="294" spans="1:7" ht="12.75">
      <c r="A294" s="30">
        <v>980</v>
      </c>
      <c r="B294" s="31" t="s">
        <v>337</v>
      </c>
      <c r="C294" s="30">
        <v>574</v>
      </c>
      <c r="D294" s="32"/>
      <c r="E294" s="33">
        <v>0</v>
      </c>
      <c r="F294" s="30">
        <v>0</v>
      </c>
      <c r="G294" s="30">
        <v>0</v>
      </c>
    </row>
    <row r="295" spans="1:7" ht="12.75">
      <c r="A295" s="30">
        <v>981</v>
      </c>
      <c r="B295" s="31" t="s">
        <v>338</v>
      </c>
      <c r="C295" s="30">
        <v>1782</v>
      </c>
      <c r="D295" s="32"/>
      <c r="E295" s="33">
        <v>0</v>
      </c>
      <c r="F295" s="30">
        <v>0</v>
      </c>
      <c r="G295" s="30">
        <v>0</v>
      </c>
    </row>
    <row r="296" spans="1:7" ht="12.75">
      <c r="A296" s="30">
        <v>982</v>
      </c>
      <c r="B296" s="31" t="s">
        <v>339</v>
      </c>
      <c r="C296" s="30">
        <v>1740</v>
      </c>
      <c r="D296" s="32"/>
      <c r="E296" s="33">
        <v>0</v>
      </c>
      <c r="F296" s="30">
        <v>0</v>
      </c>
      <c r="G296" s="30">
        <v>0</v>
      </c>
    </row>
    <row r="297" spans="1:7" ht="12.75">
      <c r="A297" s="30">
        <v>983</v>
      </c>
      <c r="B297" s="31" t="s">
        <v>340</v>
      </c>
      <c r="C297" s="30">
        <v>1170</v>
      </c>
      <c r="D297" s="32"/>
      <c r="E297" s="33">
        <v>0</v>
      </c>
      <c r="F297" s="30">
        <v>0</v>
      </c>
      <c r="G297" s="30">
        <v>0</v>
      </c>
    </row>
    <row r="298" spans="1:7" ht="12.75">
      <c r="A298" s="30">
        <v>984</v>
      </c>
      <c r="B298" s="31" t="s">
        <v>341</v>
      </c>
      <c r="C298" s="30">
        <v>690</v>
      </c>
      <c r="D298" s="32"/>
      <c r="E298" s="33">
        <v>0</v>
      </c>
      <c r="F298" s="30">
        <v>0</v>
      </c>
      <c r="G298" s="30">
        <v>0</v>
      </c>
    </row>
    <row r="299" spans="1:7" ht="12.75">
      <c r="A299" s="30">
        <v>985</v>
      </c>
      <c r="B299" s="31" t="s">
        <v>342</v>
      </c>
      <c r="C299" s="30">
        <v>2913</v>
      </c>
      <c r="D299" s="32"/>
      <c r="E299" s="33">
        <v>0</v>
      </c>
      <c r="F299" s="30">
        <v>0</v>
      </c>
      <c r="G299" s="30">
        <v>0</v>
      </c>
    </row>
    <row r="300" spans="1:7" ht="12.75">
      <c r="A300" s="30">
        <v>986</v>
      </c>
      <c r="B300" s="31" t="s">
        <v>343</v>
      </c>
      <c r="C300" s="30">
        <v>644</v>
      </c>
      <c r="D300" s="32"/>
      <c r="E300" s="33">
        <v>0</v>
      </c>
      <c r="F300" s="30">
        <v>0</v>
      </c>
      <c r="G300" s="30">
        <v>0</v>
      </c>
    </row>
    <row r="301" spans="1:7" ht="12.75">
      <c r="A301" s="30">
        <v>987</v>
      </c>
      <c r="B301" s="31" t="s">
        <v>185</v>
      </c>
      <c r="C301" s="30">
        <v>1170</v>
      </c>
      <c r="D301" s="32"/>
      <c r="E301" s="33">
        <v>0</v>
      </c>
      <c r="F301" s="30">
        <v>0</v>
      </c>
      <c r="G301" s="30">
        <v>0</v>
      </c>
    </row>
    <row r="302" spans="1:7" ht="12.75">
      <c r="A302" s="30">
        <v>988</v>
      </c>
      <c r="B302" s="31" t="s">
        <v>344</v>
      </c>
      <c r="C302" s="30">
        <v>2600</v>
      </c>
      <c r="D302" s="32"/>
      <c r="E302" s="33">
        <v>0</v>
      </c>
      <c r="F302" s="30">
        <v>0</v>
      </c>
      <c r="G302" s="30">
        <v>0</v>
      </c>
    </row>
    <row r="303" spans="1:7" ht="12.75">
      <c r="A303" s="30">
        <v>989</v>
      </c>
      <c r="B303" s="31" t="s">
        <v>345</v>
      </c>
      <c r="C303" s="30">
        <v>2840</v>
      </c>
      <c r="D303" s="32"/>
      <c r="E303" s="33">
        <v>0</v>
      </c>
      <c r="F303" s="30">
        <v>0</v>
      </c>
      <c r="G303" s="30">
        <v>0</v>
      </c>
    </row>
    <row r="304" spans="1:7" ht="12.75">
      <c r="A304" s="30">
        <v>990</v>
      </c>
      <c r="B304" s="31" t="s">
        <v>346</v>
      </c>
      <c r="C304" s="30">
        <v>2100</v>
      </c>
      <c r="D304" s="32"/>
      <c r="E304" s="33">
        <v>0</v>
      </c>
      <c r="F304" s="30">
        <v>0</v>
      </c>
      <c r="G304" s="30">
        <v>0</v>
      </c>
    </row>
    <row r="305" spans="1:7" ht="12.75">
      <c r="A305" s="30">
        <v>991</v>
      </c>
      <c r="B305" s="31" t="s">
        <v>347</v>
      </c>
      <c r="C305" s="30">
        <v>1850</v>
      </c>
      <c r="D305" s="32"/>
      <c r="E305" s="33">
        <v>0</v>
      </c>
      <c r="F305" s="30">
        <v>0</v>
      </c>
      <c r="G305" s="30">
        <v>0</v>
      </c>
    </row>
    <row r="306" spans="1:7" ht="12.75">
      <c r="A306" s="30">
        <v>992</v>
      </c>
      <c r="B306" s="31" t="s">
        <v>348</v>
      </c>
      <c r="C306" s="30">
        <v>2840</v>
      </c>
      <c r="D306" s="32"/>
      <c r="E306" s="33">
        <v>0</v>
      </c>
      <c r="F306" s="30">
        <v>0</v>
      </c>
      <c r="G306" s="30">
        <v>0</v>
      </c>
    </row>
    <row r="307" spans="1:7" ht="12.75">
      <c r="A307" s="30">
        <v>993</v>
      </c>
      <c r="B307" s="31" t="s">
        <v>349</v>
      </c>
      <c r="C307" s="30">
        <v>2913</v>
      </c>
      <c r="D307" s="32"/>
      <c r="E307" s="33">
        <v>0</v>
      </c>
      <c r="F307" s="30">
        <v>0</v>
      </c>
      <c r="G307" s="30">
        <v>0</v>
      </c>
    </row>
    <row r="308" spans="1:7" ht="12.75">
      <c r="A308" s="30">
        <v>994</v>
      </c>
      <c r="B308" s="31" t="s">
        <v>350</v>
      </c>
      <c r="C308" s="30">
        <v>1580</v>
      </c>
      <c r="D308" s="32"/>
      <c r="E308" s="33">
        <v>0</v>
      </c>
      <c r="F308" s="30">
        <v>0</v>
      </c>
      <c r="G308" s="30">
        <v>0</v>
      </c>
    </row>
    <row r="309" spans="1:7" ht="12.75">
      <c r="A309" s="30">
        <v>995</v>
      </c>
      <c r="B309" s="31" t="s">
        <v>351</v>
      </c>
      <c r="C309" s="30">
        <v>1564</v>
      </c>
      <c r="D309" s="32"/>
      <c r="E309" s="33">
        <v>0</v>
      </c>
      <c r="F309" s="30">
        <v>0</v>
      </c>
      <c r="G309" s="30">
        <v>0</v>
      </c>
    </row>
    <row r="310" spans="1:7" ht="12.75">
      <c r="A310" s="30">
        <v>996</v>
      </c>
      <c r="B310" s="31" t="s">
        <v>88</v>
      </c>
      <c r="C310" s="30">
        <v>1480</v>
      </c>
      <c r="D310" s="32"/>
      <c r="E310" s="33">
        <v>0</v>
      </c>
      <c r="F310" s="30">
        <v>0</v>
      </c>
      <c r="G310" s="30">
        <v>0</v>
      </c>
    </row>
    <row r="311" spans="1:7" ht="12.75">
      <c r="A311" s="30">
        <v>997</v>
      </c>
      <c r="B311" s="31" t="s">
        <v>352</v>
      </c>
      <c r="C311" s="30">
        <v>1564</v>
      </c>
      <c r="D311" s="32"/>
      <c r="E311" s="33">
        <v>0</v>
      </c>
      <c r="F311" s="30">
        <v>0</v>
      </c>
      <c r="G311" s="30">
        <v>0</v>
      </c>
    </row>
    <row r="312" spans="1:7" ht="12.75">
      <c r="A312" s="30">
        <v>998</v>
      </c>
      <c r="B312" s="31" t="s">
        <v>353</v>
      </c>
      <c r="C312" s="30">
        <v>2220</v>
      </c>
      <c r="D312" s="32"/>
      <c r="E312" s="33">
        <v>0</v>
      </c>
      <c r="F312" s="30">
        <v>0</v>
      </c>
      <c r="G312" s="30">
        <v>0</v>
      </c>
    </row>
    <row r="313" spans="1:7" ht="12.75">
      <c r="A313" s="30">
        <v>999</v>
      </c>
      <c r="B313" s="31" t="s">
        <v>354</v>
      </c>
      <c r="C313" s="30">
        <v>3146</v>
      </c>
      <c r="D313" s="32"/>
      <c r="E313" s="33">
        <v>0</v>
      </c>
      <c r="F313" s="30">
        <v>0</v>
      </c>
      <c r="G313" s="30">
        <v>0</v>
      </c>
    </row>
    <row r="314" spans="1:7" ht="13.5" thickBot="1">
      <c r="A314" s="30">
        <v>666</v>
      </c>
      <c r="B314" s="31" t="s">
        <v>355</v>
      </c>
      <c r="C314" s="30" t="s">
        <v>356</v>
      </c>
      <c r="D314" s="32"/>
      <c r="E314" s="44">
        <v>0</v>
      </c>
      <c r="F314" s="45">
        <v>0</v>
      </c>
      <c r="G314" s="45">
        <v>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Mailen</dc:creator>
  <cp:keywords/>
  <dc:description/>
  <cp:lastModifiedBy>usuario final</cp:lastModifiedBy>
  <dcterms:created xsi:type="dcterms:W3CDTF">2006-03-31T13:19:38Z</dcterms:created>
  <dcterms:modified xsi:type="dcterms:W3CDTF">2007-08-30T14:09:48Z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