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1880" windowHeight="6135" activeTab="0"/>
  </bookViews>
  <sheets>
    <sheet name="recibo de sueldo" sheetId="1" r:id="rId1"/>
    <sheet name="Cargos" sheetId="2" r:id="rId2"/>
  </sheets>
  <definedNames>
    <definedName name="carascensojub">#REF!</definedName>
    <definedName name="Cargos">'recibo de sueldo'!$D$159</definedName>
    <definedName name="CARGOS_Con_prolongación_de_jornada">'recibo de sueldo'!$D$159</definedName>
    <definedName name="CARGOS_de_ascenso">'recibo de sueldo'!#REF!</definedName>
    <definedName name="CARGOS_de_ingreso">'recibo de sueldo'!$E$89</definedName>
    <definedName name="caringresojub">#REF!</definedName>
    <definedName name="carproljorjub">#REF!</definedName>
    <definedName name="cod_022feb07">'recibo de sueldo'!$M$71</definedName>
    <definedName name="cod_58sup">'recibo de sueldo'!$D$82</definedName>
    <definedName name="cod017med">'recibo de sueldo'!$D$78</definedName>
    <definedName name="cod017sup">'recibo de sueldo'!$D$84</definedName>
    <definedName name="cod06cargos">'recibo de sueldo'!$L$92:$L$103</definedName>
    <definedName name="cod06cargosago08">'recibo de sueldo'!$L$107:$L$118</definedName>
    <definedName name="cod06cargosdic08">'recibo de sueldo'!$L$137:$L$148</definedName>
    <definedName name="cod06cargosoct08">'recibo de sueldo'!$L$122:$L$133</definedName>
    <definedName name="cod06med">'recibo de sueldo'!$D$77</definedName>
    <definedName name="cod06medago07">'recibo de sueldo'!$O$79</definedName>
    <definedName name="cod06medfeb07">'recibo de sueldo'!$M$79</definedName>
    <definedName name="cod06medoct07">'recibo de sueldo'!$S$79</definedName>
    <definedName name="cod06medsep07">'recibo de sueldo'!$Q$79</definedName>
    <definedName name="cod06sup">'recibo de sueldo'!$D$83</definedName>
    <definedName name="cod06supago07">'recibo de sueldo'!$O$85</definedName>
    <definedName name="cod06supfeb07">'recibo de sueldo'!$M$85</definedName>
    <definedName name="cod06supoct07">'recibo de sueldo'!$S$85</definedName>
    <definedName name="cod06supsep07">'recibo de sueldo'!$Q$85</definedName>
    <definedName name="cod17feb07">'recibo de sueldo'!$M$67</definedName>
    <definedName name="cod17medfeb07">'recibo de sueldo'!$M$80</definedName>
    <definedName name="cod17supfeb07">'recibo de sueldo'!$M$86</definedName>
    <definedName name="cod22">'recibo de sueldo'!$G$70</definedName>
    <definedName name="cod22med">'recibo de sueldo'!$D$77</definedName>
    <definedName name="cod22medfeb07">'recibo de sueldo'!$M$78</definedName>
    <definedName name="cod22medsep06">'recibo de sueldo'!$G$76</definedName>
    <definedName name="cod22sep06">'recibo de sueldo'!$G$70</definedName>
    <definedName name="cod22sup">'recibo de sueldo'!$D$83</definedName>
    <definedName name="cod22supfeb07">'recibo de sueldo'!$M$84</definedName>
    <definedName name="cod22supsep06">'recibo de sueldo'!$G$82</definedName>
    <definedName name="cod38feb07">'recibo de sueldo'!$M$68</definedName>
    <definedName name="cod38med">'recibo de sueldo'!$D$75</definedName>
    <definedName name="cod38medfeb07">'recibo de sueldo'!$M$77</definedName>
    <definedName name="cod38sup">'recibo de sueldo'!$D$81</definedName>
    <definedName name="cod38supfeb07">'recibo de sueldo'!$M$83</definedName>
    <definedName name="cod58med">'recibo de sueldo'!$D$76</definedName>
    <definedName name="compbasico">'recibo de sueldo'!$G$162</definedName>
    <definedName name="HORAS_DE_NIVEL_MEDIO">'recibo de sueldo'!$D$213</definedName>
    <definedName name="HORAS_DE_NIVEL_Superior">'recibo de sueldo'!$D$261</definedName>
    <definedName name="horasmediajub">#REF!</definedName>
    <definedName name="horassuperiorjub">#REF!</definedName>
    <definedName name="indiceago07">'recibo de sueldo'!$O$64</definedName>
    <definedName name="indiceago08">'recibo de sueldo'!$Y$64</definedName>
    <definedName name="indicedic08">'recibo de sueldo'!$Y$66</definedName>
    <definedName name="indicefeb07">'recibo de sueldo'!$M$64</definedName>
    <definedName name="indicejul08">'recibo de sueldo'!$W$64</definedName>
    <definedName name="indicemar08">'recibo de sueldo'!$U$64</definedName>
    <definedName name="indiceoct07">'recibo de sueldo'!$S$64</definedName>
    <definedName name="indiceoct08">'recibo de sueldo'!$Y$65</definedName>
    <definedName name="indicesep07">'recibo de sueldo'!$Q$64</definedName>
    <definedName name="instructivo">'recibo de sueldo'!$A$16</definedName>
    <definedName name="instructivojub">#REF!</definedName>
    <definedName name="NueSalMin">'recibo de sueldo'!$G$71</definedName>
    <definedName name="nuevocod017med">'recibo de sueldo'!$G$78</definedName>
    <definedName name="nuevocod017medago">'recibo de sueldo'!$G$78</definedName>
    <definedName name="nuevocod017medoct">'recibo de sueldo'!$J$78</definedName>
    <definedName name="nuevocod017sup">'recibo de sueldo'!$G$84</definedName>
    <definedName name="nuevocod017supago">'recibo de sueldo'!$G$84</definedName>
    <definedName name="nuevocod017supoct">'recibo de sueldo'!#REF!</definedName>
    <definedName name="nuevocod06med">'recibo de sueldo'!$G$77</definedName>
    <definedName name="nuevocod06sup">'recibo de sueldo'!$G$83</definedName>
    <definedName name="nuevocod17">'recibo de sueldo'!$G$66</definedName>
    <definedName name="nuevocod17ago">'recibo de sueldo'!$G$66</definedName>
    <definedName name="nuevocod17oct">'recibo de sueldo'!$I$66</definedName>
    <definedName name="nuevocod22ago">'recibo de sueldo'!$G$68</definedName>
    <definedName name="nuevocod22medago">'recibo de sueldo'!$G$77</definedName>
    <definedName name="nuevocod22medoct">'recibo de sueldo'!$J$77</definedName>
    <definedName name="nuevocod22oct">'recibo de sueldo'!$I$68</definedName>
    <definedName name="nuevocod22supago">'recibo de sueldo'!$G$83</definedName>
    <definedName name="nuevocod22supoct">'recibo de sueldo'!$J$84</definedName>
    <definedName name="nuevocod38">'recibo de sueldo'!$G$67</definedName>
    <definedName name="nuevocod38ago">'recibo de sueldo'!$G$67</definedName>
    <definedName name="nuevocod38med">'recibo de sueldo'!$G$75</definedName>
    <definedName name="nuevocod38medago">'recibo de sueldo'!$G$75</definedName>
    <definedName name="nuevocod38medoct">'recibo de sueldo'!$I$73</definedName>
    <definedName name="nuevocod38oct">'recibo de sueldo'!$I$67</definedName>
    <definedName name="nuevocod38sup">'recibo de sueldo'!$G$81</definedName>
    <definedName name="nuevocod38supago">'recibo de sueldo'!$G$81</definedName>
    <definedName name="nuevocod38supoct">'recibo de sueldo'!$J$82</definedName>
    <definedName name="nuevocod58">'recibo de sueldo'!$G$70</definedName>
    <definedName name="nuevocod58ago">'recibo de sueldo'!$G$70</definedName>
    <definedName name="nuevocod58med">'recibo de sueldo'!$G$76</definedName>
    <definedName name="nuevocod58medago">'recibo de sueldo'!$G$76</definedName>
    <definedName name="nuevocod58medoct">'recibo de sueldo'!$I$74</definedName>
    <definedName name="nuevocod58oct">'recibo de sueldo'!$I$70</definedName>
    <definedName name="nuevocod58sup">'recibo de sueldo'!$G$82</definedName>
    <definedName name="nuevocod58supago">'recibo de sueldo'!$G$82</definedName>
    <definedName name="nuevocod58supoct">'recibo de sueldo'!$J$83</definedName>
    <definedName name="nuevoproljornada">'recibo de sueldo'!$G$69</definedName>
    <definedName name="nuevoproljornadaago">'recibo de sueldo'!$G$69</definedName>
    <definedName name="nuevoproljoroct">'recibo de sueldo'!$I$69</definedName>
    <definedName name="nuevopuntoíndice">'recibo de sueldo'!$G$63</definedName>
    <definedName name="nuevosalminjorcom">'recibo de sueldo'!$G$72</definedName>
    <definedName name="porant">'recibo de sueldo'!$K$92:$K$103</definedName>
    <definedName name="porcremcod17">'recibo de sueldo'!$G$86</definedName>
    <definedName name="porreboncod17">'recibo de sueldo'!$G$87</definedName>
    <definedName name="proljorago07">'recibo de sueldo'!$O$70</definedName>
    <definedName name="proljorago08">'recibo de sueldo'!$Y$70</definedName>
    <definedName name="proljordic08">'recibo de sueldo'!$Y$72</definedName>
    <definedName name="proljorfeb07">'recibo de sueldo'!$M$70</definedName>
    <definedName name="proljorjul08">'recibo de sueldo'!$W$70</definedName>
    <definedName name="proljormar08">'recibo de sueldo'!$U$70</definedName>
    <definedName name="proljoroct07">'recibo de sueldo'!$S$70</definedName>
    <definedName name="proljoroct08">'recibo de sueldo'!$Y$71</definedName>
    <definedName name="proljorsep07">'recibo de sueldo'!$Q$70</definedName>
    <definedName name="punto_índice">'recibo de sueldo'!$D$63</definedName>
    <definedName name="puntoindice">'recibo de sueldo'!$G$63</definedName>
    <definedName name="puntoíndice">'recibo de sueldo'!$D$63</definedName>
    <definedName name="PUNTOSbasicos">'recibo de sueldo'!$C$162</definedName>
    <definedName name="puntoscompbasico">'Cargos'!$D$3:$D$313</definedName>
    <definedName name="puntosproljor">'recibo de sueldo'!$H$169</definedName>
    <definedName name="Salmínimo">'recibo de sueldo'!$D$71</definedName>
    <definedName name="salminimofeb07">'recibo de sueldo'!$M$72</definedName>
    <definedName name="salminimojul08">'recibo de sueldo'!$W$72</definedName>
    <definedName name="salminimomar08">'recibo de sueldo'!$U$72</definedName>
    <definedName name="salminjorcom">'recibo de sueldo'!$M$74</definedName>
    <definedName name="salminjorcompleta">'recibo de sueldo'!$D$72</definedName>
    <definedName name="valor_cod_022">'recibo de sueldo'!$D$68</definedName>
    <definedName name="valor_cod_038">'recibo de sueldo'!$D$67</definedName>
    <definedName name="valor_prol_jor">'recibo de sueldo'!$D$69</definedName>
    <definedName name="valorcod17">'recibo de sueldo'!$D$66</definedName>
    <definedName name="valorcod58">'recibo de sueldo'!$D$70</definedName>
  </definedNames>
  <calcPr fullCalcOnLoad="1"/>
</workbook>
</file>

<file path=xl/comments1.xml><?xml version="1.0" encoding="utf-8"?>
<comments xmlns="http://schemas.openxmlformats.org/spreadsheetml/2006/main">
  <authors>
    <author>V?ctor</author>
    <author>victor</author>
  </authors>
  <commentList>
    <comment ref="F23" authorId="0">
      <text>
        <r>
          <rPr>
            <b/>
            <sz val="8"/>
            <rFont val="Tahoma"/>
            <family val="0"/>
          </rPr>
          <t>Víctor:</t>
        </r>
        <r>
          <rPr>
            <sz val="8"/>
            <rFont val="Tahoma"/>
            <family val="0"/>
          </rPr>
          <t xml:space="preserve">
como en esta celda</t>
        </r>
      </text>
    </comment>
    <comment ref="C181" authorId="0">
      <text>
        <r>
          <rPr>
            <sz val="10"/>
            <rFont val="Tahoma"/>
            <family val="2"/>
          </rPr>
          <t>completar si corresponde.
0 si no corresponde</t>
        </r>
      </text>
    </comment>
    <comment ref="E189" authorId="0">
      <text>
        <r>
          <rPr>
            <sz val="12"/>
            <rFont val="Tahoma"/>
            <family val="2"/>
          </rPr>
          <t>completar</t>
        </r>
      </text>
    </comment>
    <comment ref="E193" authorId="0">
      <text>
        <r>
          <rPr>
            <b/>
            <sz val="8"/>
            <rFont val="Tahoma"/>
            <family val="0"/>
          </rPr>
          <t>Víctor:</t>
        </r>
        <r>
          <rPr>
            <sz val="8"/>
            <rFont val="Tahoma"/>
            <family val="0"/>
          </rPr>
          <t xml:space="preserve">
</t>
        </r>
        <r>
          <rPr>
            <sz val="12"/>
            <rFont val="Tahoma"/>
            <family val="2"/>
          </rPr>
          <t>Completar</t>
        </r>
      </text>
    </comment>
    <comment ref="E237" authorId="0">
      <text>
        <r>
          <rPr>
            <b/>
            <sz val="8"/>
            <rFont val="Tahoma"/>
            <family val="0"/>
          </rPr>
          <t>Víctor:</t>
        </r>
        <r>
          <rPr>
            <sz val="8"/>
            <rFont val="Tahoma"/>
            <family val="0"/>
          </rPr>
          <t xml:space="preserve">
</t>
        </r>
        <r>
          <rPr>
            <b/>
            <sz val="11"/>
            <rFont val="Tahoma"/>
            <family val="2"/>
          </rPr>
          <t>completar si hay desc por inasist</t>
        </r>
      </text>
    </comment>
    <comment ref="E282" authorId="0">
      <text>
        <r>
          <rPr>
            <b/>
            <sz val="8"/>
            <rFont val="Tahoma"/>
            <family val="0"/>
          </rPr>
          <t>Víctor: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rFont val="Tahoma"/>
            <family val="2"/>
          </rPr>
          <t>Completar en el recibo de la izquierda</t>
        </r>
      </text>
    </comment>
    <comment ref="E284" authorId="0">
      <text>
        <r>
          <rPr>
            <b/>
            <sz val="8"/>
            <rFont val="Tahoma"/>
            <family val="0"/>
          </rPr>
          <t>Víctor:</t>
        </r>
        <r>
          <rPr>
            <sz val="8"/>
            <rFont val="Tahoma"/>
            <family val="0"/>
          </rPr>
          <t xml:space="preserve">
</t>
        </r>
        <r>
          <rPr>
            <b/>
            <sz val="11"/>
            <rFont val="Tahoma"/>
            <family val="2"/>
          </rPr>
          <t>completar si hay desc por inasist</t>
        </r>
      </text>
    </comment>
    <comment ref="C185" authorId="1">
      <text>
        <r>
          <rPr>
            <sz val="8"/>
            <rFont val="Tahoma"/>
            <family val="0"/>
          </rPr>
          <t>Variar este número para hacer coincidir el monto con el recibo. Dividir el valor del recibo por el monto del simulador para obtener el número</t>
        </r>
      </text>
    </comment>
    <comment ref="C187" authorId="1">
      <text>
        <r>
          <rPr>
            <b/>
            <sz val="8"/>
            <rFont val="Tahoma"/>
            <family val="0"/>
          </rPr>
          <t>Variar este número para hacer coincidir el monto con el recibo. Dividir el valor del recibo por el monto del simulador para obtener el número</t>
        </r>
      </text>
    </comment>
    <comment ref="Q237" authorId="0">
      <text>
        <r>
          <rPr>
            <b/>
            <sz val="8"/>
            <rFont val="Tahoma"/>
            <family val="0"/>
          </rPr>
          <t>Víctor:</t>
        </r>
        <r>
          <rPr>
            <sz val="8"/>
            <rFont val="Tahoma"/>
            <family val="0"/>
          </rPr>
          <t xml:space="preserve">
</t>
        </r>
        <r>
          <rPr>
            <b/>
            <sz val="11"/>
            <rFont val="Tahoma"/>
            <family val="2"/>
          </rPr>
          <t>completar si hay desc por inasist</t>
        </r>
      </text>
    </comment>
    <comment ref="K282" authorId="0">
      <text>
        <r>
          <rPr>
            <b/>
            <sz val="8"/>
            <rFont val="Tahoma"/>
            <family val="0"/>
          </rPr>
          <t>Víctor: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rFont val="Tahoma"/>
            <family val="2"/>
          </rPr>
          <t>Completar en el recibo de la izquierda</t>
        </r>
      </text>
    </comment>
    <comment ref="K284" authorId="0">
      <text>
        <r>
          <rPr>
            <b/>
            <sz val="8"/>
            <rFont val="Tahoma"/>
            <family val="0"/>
          </rPr>
          <t>Víctor:</t>
        </r>
        <r>
          <rPr>
            <sz val="8"/>
            <rFont val="Tahoma"/>
            <family val="0"/>
          </rPr>
          <t xml:space="preserve">
</t>
        </r>
        <r>
          <rPr>
            <b/>
            <sz val="11"/>
            <rFont val="Tahoma"/>
            <family val="2"/>
          </rPr>
          <t>completar si hay desc por inasist</t>
        </r>
      </text>
    </comment>
    <comment ref="Q282" authorId="0">
      <text>
        <r>
          <rPr>
            <b/>
            <sz val="8"/>
            <rFont val="Tahoma"/>
            <family val="0"/>
          </rPr>
          <t>Víctor: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rFont val="Tahoma"/>
            <family val="2"/>
          </rPr>
          <t>Completar en el recibo de la izquierda</t>
        </r>
      </text>
    </comment>
    <comment ref="Q284" authorId="0">
      <text>
        <r>
          <rPr>
            <b/>
            <sz val="8"/>
            <rFont val="Tahoma"/>
            <family val="0"/>
          </rPr>
          <t>Víctor:</t>
        </r>
        <r>
          <rPr>
            <sz val="8"/>
            <rFont val="Tahoma"/>
            <family val="0"/>
          </rPr>
          <t xml:space="preserve">
</t>
        </r>
        <r>
          <rPr>
            <b/>
            <sz val="11"/>
            <rFont val="Tahoma"/>
            <family val="2"/>
          </rPr>
          <t>completar si hay desc por inasist</t>
        </r>
      </text>
    </comment>
    <comment ref="X237" authorId="0">
      <text>
        <r>
          <rPr>
            <b/>
            <sz val="8"/>
            <rFont val="Tahoma"/>
            <family val="0"/>
          </rPr>
          <t>Víctor:</t>
        </r>
        <r>
          <rPr>
            <sz val="8"/>
            <rFont val="Tahoma"/>
            <family val="0"/>
          </rPr>
          <t xml:space="preserve">
</t>
        </r>
        <r>
          <rPr>
            <b/>
            <sz val="11"/>
            <rFont val="Tahoma"/>
            <family val="2"/>
          </rPr>
          <t>completar si hay desc por inasist</t>
        </r>
      </text>
    </comment>
    <comment ref="AE237" authorId="0">
      <text>
        <r>
          <rPr>
            <b/>
            <sz val="8"/>
            <rFont val="Tahoma"/>
            <family val="0"/>
          </rPr>
          <t>Víctor:</t>
        </r>
        <r>
          <rPr>
            <sz val="8"/>
            <rFont val="Tahoma"/>
            <family val="0"/>
          </rPr>
          <t xml:space="preserve">
</t>
        </r>
        <r>
          <rPr>
            <b/>
            <sz val="11"/>
            <rFont val="Tahoma"/>
            <family val="2"/>
          </rPr>
          <t>completar si hay desc por inasist</t>
        </r>
      </text>
    </comment>
    <comment ref="AL237" authorId="0">
      <text>
        <r>
          <rPr>
            <b/>
            <sz val="8"/>
            <rFont val="Tahoma"/>
            <family val="0"/>
          </rPr>
          <t>Víctor:</t>
        </r>
        <r>
          <rPr>
            <sz val="8"/>
            <rFont val="Tahoma"/>
            <family val="0"/>
          </rPr>
          <t xml:space="preserve">
</t>
        </r>
        <r>
          <rPr>
            <b/>
            <sz val="11"/>
            <rFont val="Tahoma"/>
            <family val="2"/>
          </rPr>
          <t>completar si hay desc por inasist</t>
        </r>
      </text>
    </comment>
    <comment ref="X282" authorId="0">
      <text>
        <r>
          <rPr>
            <b/>
            <sz val="8"/>
            <rFont val="Tahoma"/>
            <family val="0"/>
          </rPr>
          <t>Víctor: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rFont val="Tahoma"/>
            <family val="2"/>
          </rPr>
          <t>Completar en el recibo de la izquierda</t>
        </r>
      </text>
    </comment>
    <comment ref="X284" authorId="0">
      <text>
        <r>
          <rPr>
            <b/>
            <sz val="8"/>
            <rFont val="Tahoma"/>
            <family val="0"/>
          </rPr>
          <t>Víctor:</t>
        </r>
        <r>
          <rPr>
            <sz val="8"/>
            <rFont val="Tahoma"/>
            <family val="0"/>
          </rPr>
          <t xml:space="preserve">
</t>
        </r>
        <r>
          <rPr>
            <b/>
            <sz val="11"/>
            <rFont val="Tahoma"/>
            <family val="2"/>
          </rPr>
          <t>completar si hay desc por inasist</t>
        </r>
      </text>
    </comment>
    <comment ref="AE282" authorId="0">
      <text>
        <r>
          <rPr>
            <b/>
            <sz val="8"/>
            <rFont val="Tahoma"/>
            <family val="0"/>
          </rPr>
          <t>Víctor: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rFont val="Tahoma"/>
            <family val="2"/>
          </rPr>
          <t>Completar en el recibo de la izquierda</t>
        </r>
      </text>
    </comment>
    <comment ref="AE284" authorId="0">
      <text>
        <r>
          <rPr>
            <b/>
            <sz val="8"/>
            <rFont val="Tahoma"/>
            <family val="0"/>
          </rPr>
          <t>Víctor:</t>
        </r>
        <r>
          <rPr>
            <sz val="8"/>
            <rFont val="Tahoma"/>
            <family val="0"/>
          </rPr>
          <t xml:space="preserve">
</t>
        </r>
        <r>
          <rPr>
            <b/>
            <sz val="11"/>
            <rFont val="Tahoma"/>
            <family val="2"/>
          </rPr>
          <t>completar si hay desc por inasist</t>
        </r>
      </text>
    </comment>
    <comment ref="AL282" authorId="0">
      <text>
        <r>
          <rPr>
            <b/>
            <sz val="8"/>
            <rFont val="Tahoma"/>
            <family val="0"/>
          </rPr>
          <t>Víctor: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rFont val="Tahoma"/>
            <family val="2"/>
          </rPr>
          <t>Completar en el recibo de la izquierda</t>
        </r>
      </text>
    </comment>
    <comment ref="AL284" authorId="0">
      <text>
        <r>
          <rPr>
            <b/>
            <sz val="8"/>
            <rFont val="Tahoma"/>
            <family val="0"/>
          </rPr>
          <t>Víctor:</t>
        </r>
        <r>
          <rPr>
            <sz val="8"/>
            <rFont val="Tahoma"/>
            <family val="0"/>
          </rPr>
          <t xml:space="preserve">
</t>
        </r>
        <r>
          <rPr>
            <b/>
            <sz val="11"/>
            <rFont val="Tahoma"/>
            <family val="2"/>
          </rPr>
          <t>completar si hay desc por inasist</t>
        </r>
      </text>
    </comment>
  </commentList>
</comments>
</file>

<file path=xl/sharedStrings.xml><?xml version="1.0" encoding="utf-8"?>
<sst xmlns="http://schemas.openxmlformats.org/spreadsheetml/2006/main" count="1435" uniqueCount="575">
  <si>
    <t>Antigüedad</t>
  </si>
  <si>
    <t>Total haberes</t>
  </si>
  <si>
    <t>Otro desc</t>
  </si>
  <si>
    <t>Descuentos</t>
  </si>
  <si>
    <t>Sueldo líquido</t>
  </si>
  <si>
    <t>Puntos básicos</t>
  </si>
  <si>
    <t>punto índice</t>
  </si>
  <si>
    <t>valor cod 038</t>
  </si>
  <si>
    <t>valor prol jor</t>
  </si>
  <si>
    <t>HORAS DE NIVEL MEDIO</t>
  </si>
  <si>
    <t>Número de horas</t>
  </si>
  <si>
    <t>(no llenar, se calcula solo)</t>
  </si>
  <si>
    <t>Haberes</t>
  </si>
  <si>
    <t>cod38med</t>
  </si>
  <si>
    <t>cod 58med</t>
  </si>
  <si>
    <t>cod017med</t>
  </si>
  <si>
    <t>HORAS DE NIVEL Superior</t>
  </si>
  <si>
    <t>cod38sup</t>
  </si>
  <si>
    <t>cod 58sup</t>
  </si>
  <si>
    <t>cod017sup</t>
  </si>
  <si>
    <t>nuevopuntoíndice</t>
  </si>
  <si>
    <t>Códigos actuales</t>
  </si>
  <si>
    <t>Códigos nivel medio actuales</t>
  </si>
  <si>
    <t>Códigos nivel Superior actuales</t>
  </si>
  <si>
    <t>valorcod17</t>
  </si>
  <si>
    <t>valorcod58</t>
  </si>
  <si>
    <t>No es necesario saber manejar Excel</t>
  </si>
  <si>
    <t xml:space="preserve">Leer los comentarios en las casillas que tengan una puntita roja en el ángulo superior derecho, </t>
  </si>
  <si>
    <t>el comentario aparece al posicionar el cursor sobre la casilla.</t>
  </si>
  <si>
    <t>Víctor Hugo Hutt</t>
  </si>
  <si>
    <t>AGMER Seccional Uruguay</t>
  </si>
  <si>
    <t>Remunerativo</t>
  </si>
  <si>
    <t xml:space="preserve">Tabla a la derecha </t>
  </si>
  <si>
    <t>Nuevo monto remunerativo</t>
  </si>
  <si>
    <t>Instructivo</t>
  </si>
  <si>
    <t>horas nivel medio</t>
  </si>
  <si>
    <t>horas nivel superior</t>
  </si>
  <si>
    <t>cod06med</t>
  </si>
  <si>
    <t>cod06sup</t>
  </si>
  <si>
    <t>Salmínimo</t>
  </si>
  <si>
    <t>NueSalMin</t>
  </si>
  <si>
    <t>valorcod006</t>
  </si>
  <si>
    <t>nuevocod06</t>
  </si>
  <si>
    <t>nuevocod017sup</t>
  </si>
  <si>
    <t>nuevocod38sup</t>
  </si>
  <si>
    <t>nuevocod017med</t>
  </si>
  <si>
    <t>nuevocod38med</t>
  </si>
  <si>
    <t>nuevocod17</t>
  </si>
  <si>
    <t>nuevoproljornada</t>
  </si>
  <si>
    <t>nuevocod06med</t>
  </si>
  <si>
    <t>salminjorcompleta</t>
  </si>
  <si>
    <t>nuevosalminjorcom</t>
  </si>
  <si>
    <t>No lo se</t>
  </si>
  <si>
    <t>No estoy seguro</t>
  </si>
  <si>
    <t>Leer</t>
  </si>
  <si>
    <t>nuevocod06sup</t>
  </si>
  <si>
    <t>Si desean imprimir una situación, realicen el siguiente procedimiento: seleccionar con el mouse el área donde</t>
  </si>
  <si>
    <t xml:space="preserve">aparece el recibo que se desea imprimir, y con eso seleccionado, ir a archivo, imprimir y elegir la opción </t>
  </si>
  <si>
    <t>Códigos para propuesta 24 feb/06</t>
  </si>
  <si>
    <t>Indice enero 2006</t>
  </si>
  <si>
    <t>Códigos nivel medio prop 24 feb/06</t>
  </si>
  <si>
    <t>Códigos nivel Superior 24 feb/06</t>
  </si>
  <si>
    <t>MENU</t>
  </si>
  <si>
    <t>*</t>
  </si>
  <si>
    <t>Valor anterior</t>
  </si>
  <si>
    <t>www.agmeruruguay.com.ar</t>
  </si>
  <si>
    <t xml:space="preserve"> </t>
  </si>
  <si>
    <t>Tarea</t>
  </si>
  <si>
    <t>Prol</t>
  </si>
  <si>
    <t>Jornada</t>
  </si>
  <si>
    <t>CARGO</t>
  </si>
  <si>
    <t>NOMBRE</t>
  </si>
  <si>
    <t>PUNTOS</t>
  </si>
  <si>
    <t>DIFER.</t>
  </si>
  <si>
    <t>JORN</t>
  </si>
  <si>
    <t>Compl</t>
  </si>
  <si>
    <t>JEFE DE PRECEPTORES DE 2DA Y 3RA CATEGORIA</t>
  </si>
  <si>
    <t xml:space="preserve"> RESP. AREA ASISTEMATICA Y SISTEMATICA</t>
  </si>
  <si>
    <t xml:space="preserve"> ASESOR PEDAGOGICO</t>
  </si>
  <si>
    <t xml:space="preserve"> SUPERVISOR D.E.M.Y.A.</t>
  </si>
  <si>
    <t xml:space="preserve"> SECRETARIO DOCENTE D.E.M.Y.A.</t>
  </si>
  <si>
    <t xml:space="preserve"> TECNICO PEDAGOGICO</t>
  </si>
  <si>
    <t xml:space="preserve"> DIRECTOR 1ERA CATEGORIA</t>
  </si>
  <si>
    <t xml:space="preserve"> DIRECTOR 2DA CATEGORIA</t>
  </si>
  <si>
    <t xml:space="preserve"> REGENTE ESC. TECNICA 1ERA CATEGORIA</t>
  </si>
  <si>
    <t xml:space="preserve"> DIRECTOR 3ERA CATEGORIA</t>
  </si>
  <si>
    <t xml:space="preserve"> VICEDIRECTOR 1ERA CATEGORIA</t>
  </si>
  <si>
    <t xml:space="preserve"> VICEDIRECTOR 2DA CATEGORIA</t>
  </si>
  <si>
    <t xml:space="preserve"> JEFE AGROPECUARIO 1ERA CATEGORIA</t>
  </si>
  <si>
    <t xml:space="preserve"> JEFE AGROPECUARIO 2DA CATEGORIA</t>
  </si>
  <si>
    <t xml:space="preserve"> JEFE AGROPECUARIO 3ERA CATEGORIA</t>
  </si>
  <si>
    <t xml:space="preserve"> JEFE SECCION ESC. AGROPECUARIA</t>
  </si>
  <si>
    <t xml:space="preserve"> REGENTE ESC. TECNICA 2DA CATEGORIA</t>
  </si>
  <si>
    <t xml:space="preserve"> MAESTRO ENS PRACT - JEFE SECCION</t>
  </si>
  <si>
    <t xml:space="preserve"> MAESTRO ENS PRACT - 1RA 2DA 3RA</t>
  </si>
  <si>
    <t xml:space="preserve"> JEFE INTERNADO 1ERA CATEGORIA</t>
  </si>
  <si>
    <t xml:space="preserve"> JEFE INTERNADO 3ERA CATEGORIA</t>
  </si>
  <si>
    <t xml:space="preserve"> SECRETARIO 1ERA CATEGORIA</t>
  </si>
  <si>
    <t xml:space="preserve"> SECRETARIO 2DA CATEGORIA</t>
  </si>
  <si>
    <t xml:space="preserve"> SECRETARIO 3ERA CATEGORIA</t>
  </si>
  <si>
    <t xml:space="preserve"> MAESTRO TECNOLOGICO Y ESPECIALIDADES</t>
  </si>
  <si>
    <t xml:space="preserve"> MAESTRO AYUD ENS PRACT 1RA 2DA 3RA</t>
  </si>
  <si>
    <t xml:space="preserve"> PRECEPTOR AYUDANTE INTERNADO 1ERA CATEGORIA</t>
  </si>
  <si>
    <t xml:space="preserve"> PRECEPTOR AYUDANTE INTERNADO 3ERA CATEGORIA</t>
  </si>
  <si>
    <t xml:space="preserve"> PRECEPTOR</t>
  </si>
  <si>
    <t xml:space="preserve"> BIBLIOTECARIO</t>
  </si>
  <si>
    <t xml:space="preserve"> MAESTRO DE GRADO</t>
  </si>
  <si>
    <t xml:space="preserve"> JEFE DE LABORATORIO</t>
  </si>
  <si>
    <t xml:space="preserve"> JEFE DE ENS PRACTICA</t>
  </si>
  <si>
    <t xml:space="preserve"> AYTE TEC DE TRAB PRACT/LABORATORIO</t>
  </si>
  <si>
    <t xml:space="preserve"> SUBJEFE DE PRECEPT 1RA CAT</t>
  </si>
  <si>
    <t xml:space="preserve"> RECTOR PROYECTO 13</t>
  </si>
  <si>
    <t xml:space="preserve"> JEFE INTERNADO 2DA CATEGORIA</t>
  </si>
  <si>
    <t xml:space="preserve"> PRECEPTOR AYUDANTE DE INTERNADO 2DA CATEGORIA</t>
  </si>
  <si>
    <t xml:space="preserve"> VICEDIRECTOR 3ERA CATEGORIA</t>
  </si>
  <si>
    <t xml:space="preserve"> VICERECTOR PROYECTO 13</t>
  </si>
  <si>
    <t xml:space="preserve"> ASESOR PEDAG PROYECTO 13</t>
  </si>
  <si>
    <t xml:space="preserve"> AYUDANTE CLASES PRACTICAS (14 Hs)</t>
  </si>
  <si>
    <t xml:space="preserve"> INSTRUCTOR COMPLEJO AGRARIO</t>
  </si>
  <si>
    <t xml:space="preserve"> DIRECTOR DE 1° C.E.F.</t>
  </si>
  <si>
    <t xml:space="preserve"> MAESTRO DE CICLO E.G.B.</t>
  </si>
  <si>
    <t xml:space="preserve"> COORDINADOR DE ACCIONES NO FORMALES</t>
  </si>
  <si>
    <t xml:space="preserve"> AUXILIAR DE ACCIONES NO FORMALES</t>
  </si>
  <si>
    <t xml:space="preserve"> INSTRUCTOR ESC. AGROPECUARIAS</t>
  </si>
  <si>
    <t xml:space="preserve"> JEFE TALLER ESC. TECNICA 3ERA CATEGORIA</t>
  </si>
  <si>
    <t xml:space="preserve"> JEFE TALLER ESC. TECNICA 1ERA CATEGORIA</t>
  </si>
  <si>
    <t xml:space="preserve"> JEFE TALLER ESC. TECNICA 2DA CATEGORIA</t>
  </si>
  <si>
    <t xml:space="preserve"> PROSECRETARIO 1ERA CAT.</t>
  </si>
  <si>
    <t xml:space="preserve"> PROSECRETARIO 2DA Y 3ERA CAT.</t>
  </si>
  <si>
    <t xml:space="preserve"> JEFE DE PRECEPTORES 1ERA CAT.</t>
  </si>
  <si>
    <t xml:space="preserve"> JEFE DE PRECEPTORES 2DA Y 3ERA CAT.</t>
  </si>
  <si>
    <t xml:space="preserve"> SUBJEFE DE PRECEPTORES 1ERA CAT.</t>
  </si>
  <si>
    <t xml:space="preserve"> JEFE DE PRECEPTORES J. C. AGRARIA</t>
  </si>
  <si>
    <t xml:space="preserve"> JEFE GRAL. DE ENSENANZA PRACTICA 3RA CAT.</t>
  </si>
  <si>
    <r>
      <t xml:space="preserve"> JEFE DPTO. EDUCACION FISICA</t>
    </r>
    <r>
      <rPr>
        <b/>
        <sz val="9"/>
        <color indexed="10"/>
        <rFont val="Arial"/>
        <family val="2"/>
      </rPr>
      <t xml:space="preserve"> (transformado) 971 + 620</t>
    </r>
  </si>
  <si>
    <t xml:space="preserve"> DIRECTOR DE 1ERA CAT. CON PROLONG. DE JORN.</t>
  </si>
  <si>
    <t xml:space="preserve"> DIRECTOR DE 2DA CAT. CON PROLONG. DE JORN.</t>
  </si>
  <si>
    <t xml:space="preserve"> DIRECTOR DE 3ERA CAT. CON PROLONG. DE JORN.</t>
  </si>
  <si>
    <t xml:space="preserve"> VICEDIRECTOR DE 1ERA CAT. CON PROLONG. DE JORN.</t>
  </si>
  <si>
    <t xml:space="preserve"> VICEDIRECTOR DE 2DA CAT. CON PROLONG. DE JORN.</t>
  </si>
  <si>
    <t xml:space="preserve"> DIRECTOR DE 1ERA A/C DE 2 TURNOS CON P. DE JORN</t>
  </si>
  <si>
    <t xml:space="preserve"> DIRECTOR DE 2DA A/C DE 2 TURNOS CON P. DE JORN.</t>
  </si>
  <si>
    <t xml:space="preserve"> DIRECTOR DE 3ERA A/C DE 2 TURNOS CON P. DE JORN.</t>
  </si>
  <si>
    <t xml:space="preserve"> JEFE AGROPECUARIO 1ERA CAT. CON PROLONG. DE JORN.</t>
  </si>
  <si>
    <t xml:space="preserve"> JEFE AGROPECUARIO 2DA CAT. CON PROLONG. DE JORN.</t>
  </si>
  <si>
    <t xml:space="preserve"> JEFE AGROPECUARIO 3ERA CAT. CON PROLONG. DE JORN.</t>
  </si>
  <si>
    <t xml:space="preserve"> JEFE SECCION ESC. AGROP. CON PROLONG. DE JORN.</t>
  </si>
  <si>
    <t xml:space="preserve"> JEFE INTERN. 1ERA CAT. ESC. AGROP. CON P. DE JORN.</t>
  </si>
  <si>
    <t xml:space="preserve"> JEFE INTERN. 2DA CAT. ESC. AGROP. CON P. DE JORN.</t>
  </si>
  <si>
    <t xml:space="preserve"> JEFE INTERN. 3ERA CAT. ESC. AGROP. CON P. DE JORN.</t>
  </si>
  <si>
    <t xml:space="preserve"> PRECEPTOR AYUDANTE INTERN. 1ERA CAT. CON P. DE JORN. (Pasó a 684)</t>
  </si>
  <si>
    <t xml:space="preserve"> PRECEPTOR AYUDANTE INTERN. 2DA CAT. CON P. DE JORN. (Pasó a 684)</t>
  </si>
  <si>
    <t xml:space="preserve"> PRECEPTOR AYUDANTE INTERNADO</t>
  </si>
  <si>
    <t xml:space="preserve"> VICEDIRECTOR ESC. 3ERA CAT. CON PROLONG. DE JORN.</t>
  </si>
  <si>
    <t xml:space="preserve"> DIRECTOR DE 1ERA CAT. A/C DE 3 TURNOS CON P. DE JORN.</t>
  </si>
  <si>
    <t xml:space="preserve"> DIRECTOR DE 2DA CAT. A/C DE 3 TURNOS CON P. DE JORN.</t>
  </si>
  <si>
    <t xml:space="preserve"> DIRECTOR DE 3ERA CAT. A/C DE 3 TURNOS CON P. DE JORN.</t>
  </si>
  <si>
    <t xml:space="preserve"> PRECEPTOR AYUDANTE INTERN. ESC. TECNICA (Pasó a 684)</t>
  </si>
  <si>
    <t>JEFE SECTORIAL DE JORNADA COMPLETA AGRARIA</t>
  </si>
  <si>
    <t xml:space="preserve"> JEFE INTERN. ESC. TECNICA 1ERA CAT. CON PROL. DE JORN.</t>
  </si>
  <si>
    <t xml:space="preserve"> JEFE INTERN. ESC. TECNICA 2DA CAT. CON PROL. DE JORN.</t>
  </si>
  <si>
    <t xml:space="preserve"> JEFE INTERN. ESC. TECNICA 3ERA CAT. CON PROL. DE JORN.</t>
  </si>
  <si>
    <t xml:space="preserve"> AYUDANTE DE CATEDRA</t>
  </si>
  <si>
    <t xml:space="preserve"> REGENTE DE 3ERA CAT.</t>
  </si>
  <si>
    <t xml:space="preserve"> SUBREGENTE DE 1ERA CAT.</t>
  </si>
  <si>
    <t xml:space="preserve"> JEFE GRAL. DE ENS. PRACTICA 1ERA CAT.</t>
  </si>
  <si>
    <t xml:space="preserve"> JEFE GRAL. DE ENS. PRACTICA 2DA CAT.</t>
  </si>
  <si>
    <t xml:space="preserve"> MAESTRO DE GRADO ESC. ANEXAS FFAA</t>
  </si>
  <si>
    <t xml:space="preserve"> ASESORES</t>
  </si>
  <si>
    <t xml:space="preserve"> DIRECTOR ESC. 3RA CAT. ESC. ANEXAS FFAA</t>
  </si>
  <si>
    <t xml:space="preserve"> DIRECTOR ESC. 2DA CAT. ESC. ANEXAS FFAA</t>
  </si>
  <si>
    <t xml:space="preserve"> COORDINADOR HOGAR ESCUELA</t>
  </si>
  <si>
    <t xml:space="preserve"> JEFE DEPARTAMENTO TECNICO</t>
  </si>
  <si>
    <t xml:space="preserve"> SUPERVISOR DE ENSENANZA PRIMARIA</t>
  </si>
  <si>
    <t xml:space="preserve"> SUPERVISOR DE ENSENANZA ESPECIAL</t>
  </si>
  <si>
    <t xml:space="preserve"> SUPERVISOR DE EDUCACION FISICA</t>
  </si>
  <si>
    <t xml:space="preserve"> SUPERVISOR DE ACTIVIDADES PRACTICAS</t>
  </si>
  <si>
    <t xml:space="preserve"> SUPERVISOR DE EDUCACION MUSICAL</t>
  </si>
  <si>
    <t xml:space="preserve"> TECNICO DOCENTE</t>
  </si>
  <si>
    <t xml:space="preserve"> SECRETARIO DOCENTE HOGAR ESCUELA</t>
  </si>
  <si>
    <t xml:space="preserve"> DIRECTOR ESCUELA 1ERA CATEGORIA</t>
  </si>
  <si>
    <t xml:space="preserve"> DIRECTOR GABINETE DE PSICOMETRIA</t>
  </si>
  <si>
    <t xml:space="preserve"> DIRECTOR NIVEL INICIAL 1ERA CATEGORIA</t>
  </si>
  <si>
    <t xml:space="preserve"> DIRECTOR ESCUELA 2DA CATEGORIA</t>
  </si>
  <si>
    <t xml:space="preserve"> DIRECTOR NIVEL INICIAL 2DA CATEGORIA</t>
  </si>
  <si>
    <t xml:space="preserve"> DIRECTOR ESCUELA EDUCACION ESPECIAL</t>
  </si>
  <si>
    <t xml:space="preserve"> DIRECTOR ESCUELA 3ERA CATEGORIA</t>
  </si>
  <si>
    <t xml:space="preserve"> VICEDIRECTOR ESCUELA 1ERA CATEGORIA</t>
  </si>
  <si>
    <t xml:space="preserve"> DIRECTOR ESCUELA CARCEL</t>
  </si>
  <si>
    <t xml:space="preserve"> DIRECTOR ESCUELA 4TA CATEGORIA</t>
  </si>
  <si>
    <t xml:space="preserve"> TECNICO DIFERENCIADO</t>
  </si>
  <si>
    <t xml:space="preserve"> VICEDIRECTOR ESCUELA 2DA CATEGORIA</t>
  </si>
  <si>
    <t xml:space="preserve"> DIRECTOR ESCUELA MATERNAL</t>
  </si>
  <si>
    <t xml:space="preserve"> DIRECTOR ESCUELA ADULTOS 1ERA CATEGORIA</t>
  </si>
  <si>
    <t xml:space="preserve"> DIRECTOR ESCUELA CORAL</t>
  </si>
  <si>
    <t xml:space="preserve"> DIRECTOR ESCUELA ADULTOS 2DA CATEGORIA</t>
  </si>
  <si>
    <t xml:space="preserve"> MAESTRO DOMICILIARIO</t>
  </si>
  <si>
    <t xml:space="preserve"> VISITADOR</t>
  </si>
  <si>
    <t xml:space="preserve"> ASISTENTE SOCIAL</t>
  </si>
  <si>
    <t xml:space="preserve"> MAESTRO ESCUELA DIFERENCIADA</t>
  </si>
  <si>
    <t xml:space="preserve"> DIRECTOR PARQUE ESCOLAR "E. BERDUC"</t>
  </si>
  <si>
    <t xml:space="preserve"> MAESTRO ESPECIAL EDUCACION MUSICAL DIFERENCIADO</t>
  </si>
  <si>
    <t xml:space="preserve"> MAESTRO JARDIN DE INFANTES</t>
  </si>
  <si>
    <t xml:space="preserve"> MAESTRO DE GRADO DIFERENCIADO</t>
  </si>
  <si>
    <t xml:space="preserve"> MAESTRO CARCELARIO</t>
  </si>
  <si>
    <t xml:space="preserve"> SECRETARIO ESCUELA 2DA CATEGORIA</t>
  </si>
  <si>
    <t xml:space="preserve"> MAESTRO ESPECIAL ACTIVIDAD PRACTICAS DIFERENCIADA</t>
  </si>
  <si>
    <t xml:space="preserve"> MAESTRO ESCUELA MATERNAL</t>
  </si>
  <si>
    <t xml:space="preserve"> SECRETARIO ESCUELA 1ERA CATEGORIA</t>
  </si>
  <si>
    <t xml:space="preserve"> MAESTRO ESPECIAL ESCUELA CORAL</t>
  </si>
  <si>
    <t xml:space="preserve"> MAESTRO AUXILIAR ESCUELA DIFERENCIADA</t>
  </si>
  <si>
    <t xml:space="preserve"> MAESTRO EDUCACION FISICA</t>
  </si>
  <si>
    <t xml:space="preserve"> SECRETARIO ESCUELA ADULTOS</t>
  </si>
  <si>
    <t xml:space="preserve"> PSICOPEDAGOGO</t>
  </si>
  <si>
    <t xml:space="preserve"> TECNICO DOCENTE ENSENANZA ESPECIAL</t>
  </si>
  <si>
    <t xml:space="preserve"> DIRECTOR ESCUELA PARA CIEGOS</t>
  </si>
  <si>
    <t xml:space="preserve"> MAESTRO ESCUELA NOCTURNA</t>
  </si>
  <si>
    <t xml:space="preserve"> MAESTRO ESPECIAL ACTIVIDADES PRACTICAS</t>
  </si>
  <si>
    <t xml:space="preserve"> SECRETARIO PARQUE ESCOLAR</t>
  </si>
  <si>
    <t xml:space="preserve"> MAESTRO ESPECIAL ACTIVIDADES PRACTICAS ADULTO</t>
  </si>
  <si>
    <t xml:space="preserve"> MAESTRO ESPECIAL TECNICO AGROPECUARIO</t>
  </si>
  <si>
    <t xml:space="preserve"> MAESTRO HOSPITALARIO</t>
  </si>
  <si>
    <t xml:space="preserve"> BIBLIOTECARIO PEDAGOGICO</t>
  </si>
  <si>
    <t xml:space="preserve"> COORDINADOR CENTRO LABORAL</t>
  </si>
  <si>
    <t xml:space="preserve"> COORDINADOR DEPARTAMENTAL</t>
  </si>
  <si>
    <t xml:space="preserve"> MAESTRO ESPECIAL EDUCACION MUSICAL</t>
  </si>
  <si>
    <t xml:space="preserve"> FONOAUDIOLOGO</t>
  </si>
  <si>
    <t xml:space="preserve"> PSICOLOGO</t>
  </si>
  <si>
    <t xml:space="preserve"> DIRECTOR ESCUELA PARA SORDOS</t>
  </si>
  <si>
    <t xml:space="preserve"> VICEDIRECTOR ESCUELA ENSENANZA ESPECIAL</t>
  </si>
  <si>
    <t xml:space="preserve"> MAESTRO ESPECIAL EDUCACION FISICA DIFERENCIADO</t>
  </si>
  <si>
    <t xml:space="preserve"> SECRETARIO DOCENTE</t>
  </si>
  <si>
    <t xml:space="preserve"> SUPERVISOR ENSENANZA ADULTOS</t>
  </si>
  <si>
    <t xml:space="preserve"> MAESTRO AUXILIAR ESCUELA DIFERENCIADA JORNADA COMPLETA</t>
  </si>
  <si>
    <t xml:space="preserve"> MAESTRO ESPECIAL ACT. PRACT. DIFERENCIADA J. COMPLETA</t>
  </si>
  <si>
    <t xml:space="preserve"> DIRECTOR ESCUELA DIFERENCIADA JORNADA COMPLETA</t>
  </si>
  <si>
    <t xml:space="preserve"> VICEDIRECTOR ESCUELA DIFERENCIADA JORNADA COMPLETA</t>
  </si>
  <si>
    <t xml:space="preserve"> SECRETARIO ESCUELA DIFERENCIADA</t>
  </si>
  <si>
    <t xml:space="preserve"> MAESTRO ESPECIAL DE TALLER</t>
  </si>
  <si>
    <t xml:space="preserve"> MAESTRO ESPECIAL DE TALLER ANEXO ALBERGUE</t>
  </si>
  <si>
    <t xml:space="preserve"> DIRECTOR NIVEL INICIAL 3ERA CATEGORIA</t>
  </si>
  <si>
    <t xml:space="preserve"> CAPACITADORES CENTROS LABORALES   mecl</t>
  </si>
  <si>
    <t xml:space="preserve"> JEFE DPTO PEDAGOGICO Y SUPERVISION</t>
  </si>
  <si>
    <t>COORD. DPTAL. DE CENTROS P/ADULTOS</t>
  </si>
  <si>
    <t xml:space="preserve"> MAESTRO ESPECIAL EDUCACION MUSICAL ADULTOS</t>
  </si>
  <si>
    <t xml:space="preserve"> SECRETARIO DE SUPERVISION</t>
  </si>
  <si>
    <t xml:space="preserve"> ASESOR PSICOLOGIA EDUCATIVA</t>
  </si>
  <si>
    <t xml:space="preserve"> MAESTRO NIVELADOR</t>
  </si>
  <si>
    <t xml:space="preserve"> SUPERVISOR NIVEL INICIAL</t>
  </si>
  <si>
    <t xml:space="preserve"> SUPERVISOR BIBLIOTECAS ESCOLARES</t>
  </si>
  <si>
    <t xml:space="preserve"> SUPERVISOR TECNICO</t>
  </si>
  <si>
    <t xml:space="preserve"> DIRECTOR DPTO APLICACION</t>
  </si>
  <si>
    <t xml:space="preserve"> VICEDIRECTOR DPTO APLICACION DE 2DA CATEGORIA </t>
  </si>
  <si>
    <t xml:space="preserve"> SECRETARIO DPTO APLICACION</t>
  </si>
  <si>
    <t xml:space="preserve"> MAESTRO DPTO APLICACION</t>
  </si>
  <si>
    <t xml:space="preserve"> MAESTRO MATERIAS ESPECIALES DPTO APLICACION</t>
  </si>
  <si>
    <t xml:space="preserve"> DIRECTOR 1ERA CATEGORIA JORNADA COMPLETA</t>
  </si>
  <si>
    <t xml:space="preserve"> DIRECTOR 2DA CATEGORIA JORNADA COMPLETA</t>
  </si>
  <si>
    <t xml:space="preserve"> DIRECTOR 3ERA CATEGORIA JORNADA COMPLETA</t>
  </si>
  <si>
    <t xml:space="preserve"> DIRECTOR 4TA CATEGORIA JORNADA COMPLETA</t>
  </si>
  <si>
    <t xml:space="preserve"> VICEDIRECTOR 2DA CATEGORIA JORNADA COMPLETA</t>
  </si>
  <si>
    <t xml:space="preserve"> MAESTRO DE GRADO JORNADA COMPLETA</t>
  </si>
  <si>
    <t xml:space="preserve"> MAESTRO ESPECIAL DE ACT. PRACTICAS JORN. COMPLETA</t>
  </si>
  <si>
    <t xml:space="preserve"> MAESTRO JARDIN DE INFANTES JORNADA COMPLETA</t>
  </si>
  <si>
    <t xml:space="preserve"> VICEDIRECTOR NIVEL INICIAL 2DA CATEGORIA</t>
  </si>
  <si>
    <t xml:space="preserve"> DIRECTOR 2DA ANEXO ALBERGUE</t>
  </si>
  <si>
    <t xml:space="preserve"> MAESTRO DE GRADO ANEXO ALBERGUE</t>
  </si>
  <si>
    <t xml:space="preserve"> MAESTRO ESP. ACTIV. PRACTICAS ANEXO ALBERGUE</t>
  </si>
  <si>
    <t xml:space="preserve"> DIRECTOR 3ERA CATEGORIA ANEXO ALBERGUE</t>
  </si>
  <si>
    <t xml:space="preserve"> DIRECTOR 4TA CATEGORIA ANEXO ALBERGUE</t>
  </si>
  <si>
    <t xml:space="preserve"> CELADOR ANEXO ALBERGUE</t>
  </si>
  <si>
    <t xml:space="preserve"> VICEDIRECTOR 1ERA CATEGORIA JORNADA COMPLETA</t>
  </si>
  <si>
    <t xml:space="preserve"> SECRETARIO 1ERA CATEGORIA JORNADA COMPLETA</t>
  </si>
  <si>
    <t xml:space="preserve"> SECRETARIO 2DA CATEGORIA JORNADA COMPLETA</t>
  </si>
  <si>
    <t xml:space="preserve"> SECRETARIO 3ERA CATEGORIA JORNADA COMPLETA</t>
  </si>
  <si>
    <t xml:space="preserve"> COORDINADOR PROVINCIAL DEL PROGRAMA</t>
  </si>
  <si>
    <t xml:space="preserve"> TECNICO DEL PROGRAMA 35 HS</t>
  </si>
  <si>
    <t xml:space="preserve"> TECNICO DOCENTE 20 HS</t>
  </si>
  <si>
    <t xml:space="preserve"> RESPONSABLE ZONAL O SECTORIAL</t>
  </si>
  <si>
    <t xml:space="preserve"> EDUCADOR DE ADULTOS</t>
  </si>
  <si>
    <t xml:space="preserve"> COORDINADOR ZONAL EDUCACION ADULTOS</t>
  </si>
  <si>
    <t xml:space="preserve"> MAESTRO ESPECIAL EDUCACION MUSICAL JORNADA COMPLETA</t>
  </si>
  <si>
    <t xml:space="preserve"> MAESTRO ESPECIAL EDUCACION FISICA JORN. COMPLETA</t>
  </si>
  <si>
    <t xml:space="preserve"> MAESTRO ESPECIAL JORNADA SIMPLE SIN PROLONGACION DE JORNADA</t>
  </si>
  <si>
    <t xml:space="preserve"> MAESTRO ESPECIAL EDUCACION MUSICAL ANEXO ALBERGUE</t>
  </si>
  <si>
    <t xml:space="preserve"> MAESTRO ESPECIAL EDUCACION FISICA ANEXO ALBERGUE</t>
  </si>
  <si>
    <t xml:space="preserve"> MAESTRO ESPECIAL DE TALLER JORNADA COMPLETA</t>
  </si>
  <si>
    <t xml:space="preserve"> MAESTRO ESPECIAL TECNICO AGROPECUARIO JORN. COMPLETA</t>
  </si>
  <si>
    <t xml:space="preserve"> DIRECTOR PERSONAL UNICO</t>
  </si>
  <si>
    <t xml:space="preserve"> SECRETARIO ESCUELA 3ERA CATEGORIA</t>
  </si>
  <si>
    <t xml:space="preserve"> COORDINADOR CENTRO COMUNITARIO</t>
  </si>
  <si>
    <t xml:space="preserve"> MAESTRO GRADO EGB3 (PRIMARIA)</t>
  </si>
  <si>
    <t xml:space="preserve"> JEFE DPTO PEDAGOGICO Y DE SUPERVISION</t>
  </si>
  <si>
    <t xml:space="preserve"> SUPERVISOR INSTITUTO SUPERIOR</t>
  </si>
  <si>
    <t xml:space="preserve"> SUPERVISOR ENSE¥ANZA ESPECIAL</t>
  </si>
  <si>
    <t xml:space="preserve"> SUPERVISOR ENSE¥ANZA PRIMARIA</t>
  </si>
  <si>
    <t xml:space="preserve"> VICERECTOR INSTITUTO SUPERIOR</t>
  </si>
  <si>
    <t xml:space="preserve"> SECRETARIO TECNICO DPTO. PEDAGOGICO</t>
  </si>
  <si>
    <t xml:space="preserve"> DIRECTOR PRIMERA CATEGORIA</t>
  </si>
  <si>
    <t xml:space="preserve"> DIRECTOR SEGUNDA CATEGORIA</t>
  </si>
  <si>
    <t xml:space="preserve"> DIRECTOR TERCERA CATEGORIA</t>
  </si>
  <si>
    <t xml:space="preserve"> DIRECTOR CUARTA CATEGORIA</t>
  </si>
  <si>
    <t xml:space="preserve"> DIRECTOR ESC. NIVEL INICIAL 2DA CATEGORIA</t>
  </si>
  <si>
    <t xml:space="preserve"> VICEDIRECTOR ESC. PRIMARIA 1ERA CATEGORIA</t>
  </si>
  <si>
    <t xml:space="preserve"> VICEDIRECTOR ESC. PRIMARIA 2DA CATEGORIA</t>
  </si>
  <si>
    <t xml:space="preserve"> VICEDIRECTOR ESC. EDUCACION ESPECIAL</t>
  </si>
  <si>
    <t xml:space="preserve"> SECRETARIO ESC. 2DA CATEGORIA</t>
  </si>
  <si>
    <t xml:space="preserve"> MAESTRO DE GRADO ESC. PRIMARIA</t>
  </si>
  <si>
    <t xml:space="preserve"> MAESTRO DE JARDIN DE INFANTES</t>
  </si>
  <si>
    <t xml:space="preserve"> MAESTRO DE GRUPO ESC. DIFERENCIADA</t>
  </si>
  <si>
    <t xml:space="preserve"> MAESTRO DE GRADO ADULTOS</t>
  </si>
  <si>
    <t xml:space="preserve"> MAESTRO DE EDUCACION FISICA</t>
  </si>
  <si>
    <t xml:space="preserve"> MAESTRO MATERIAS ESPECIALES</t>
  </si>
  <si>
    <t xml:space="preserve"> MAESTRO MATERIAS ESPECIALES ESC. DIFERENCIADA</t>
  </si>
  <si>
    <t xml:space="preserve"> PRECEPTOR ESC. DIFERENCIADA</t>
  </si>
  <si>
    <t xml:space="preserve"> DIRECTOR ESCUELA CAPACITACION TECNICA 4TA CATEGORIA</t>
  </si>
  <si>
    <t xml:space="preserve"> MAESTRO ESC. CAPACITACION TECNICA</t>
  </si>
  <si>
    <t xml:space="preserve"> RECTOR INSTITUTO SUPERIOR</t>
  </si>
  <si>
    <t xml:space="preserve"> SECRETARIO INSTITUTO SUPERIOR</t>
  </si>
  <si>
    <t xml:space="preserve"> BIBLIOTECARIO INSTITUTO SUPERIOR</t>
  </si>
  <si>
    <t xml:space="preserve"> PRECEPTOR INSTITUTO SUPERIOR</t>
  </si>
  <si>
    <t xml:space="preserve"> BEDEL</t>
  </si>
  <si>
    <t>PRECEPTOR INSTITUTO SUPERIOR - PRIVADA</t>
  </si>
  <si>
    <t xml:space="preserve"> DIRECTOR ESC. CAPACITACION TECNICA 3ERA CATEGORIA</t>
  </si>
  <si>
    <t xml:space="preserve"> DIRECTOR ESC. CAPACITACION TECNICA 1ERA CATEGORIA</t>
  </si>
  <si>
    <t xml:space="preserve"> DIRECTOR ESC. CAPACITACION TECNICA 2DA CATEGORIA</t>
  </si>
  <si>
    <t xml:space="preserve"> SECRETARIO ESC. PRIMARIA 1ERA CATEGORIA</t>
  </si>
  <si>
    <t xml:space="preserve"> DIRECTOR ESC. 2DA CATEGORIA JORNADA COMPLETA</t>
  </si>
  <si>
    <t xml:space="preserve"> MAESTRO DE EDUCACION FISICA JORNADA COMPLETA</t>
  </si>
  <si>
    <t xml:space="preserve"> MAESTRO DE ACTIVIDADES PRACTICAS JORNADA COMPLETA</t>
  </si>
  <si>
    <t xml:space="preserve"> MAESTRO DE EDUCACION MUSICAL JORNADA COMPLETA</t>
  </si>
  <si>
    <t xml:space="preserve"> VICEDIRECTOR ESC. 2DA CATEGORIA JORNADA COMPLETA</t>
  </si>
  <si>
    <t xml:space="preserve"> DIRECTOR ESC. 3ERA CAT. JORNADA COMPLETA</t>
  </si>
  <si>
    <t xml:space="preserve"> VICEDIRECTOR ESC. TECNICA 1ERA CATEGORIA</t>
  </si>
  <si>
    <t xml:space="preserve"> SECRETARIO DOCENTE PRIVADA</t>
  </si>
  <si>
    <t xml:space="preserve"> DIRECTOR ESCUELA ENFERMERIA</t>
  </si>
  <si>
    <t xml:space="preserve"> JEFE DOCENTE ESCUELA ENFERMERIA</t>
  </si>
  <si>
    <t xml:space="preserve"> SECRETARIO DOCENTE ESCUELA ENFERMERIA</t>
  </si>
  <si>
    <t xml:space="preserve"> SECRETARIO ADMINISTRATIVO ESCUELA ENFERMERIA</t>
  </si>
  <si>
    <t xml:space="preserve"> INSTRUCTOR INSTITUTO SUPERIOR</t>
  </si>
  <si>
    <t xml:space="preserve"> SECRETARIO DOCENTE SUPERIOR</t>
  </si>
  <si>
    <t xml:space="preserve"> SECRETARIO ACADEMICO</t>
  </si>
  <si>
    <t xml:space="preserve"> JEFE LABORATORIO COMPUTACION</t>
  </si>
  <si>
    <t xml:space="preserve"> MAESTRO ESCUELA ESPECIAL</t>
  </si>
  <si>
    <t xml:space="preserve"> PRECEPTOR GUIA INTERNADO INSTITUTO SUPERIOR</t>
  </si>
  <si>
    <t xml:space="preserve"> SECRETARIO ESCUELA ESPECIAL</t>
  </si>
  <si>
    <t xml:space="preserve"> DIRECTOR ESC. NIVEL INICIAL 3era CATEGORIA</t>
  </si>
  <si>
    <t xml:space="preserve"> DIRECTOR ESC. NIVEL INICIAL 4ta CATEGORIA</t>
  </si>
  <si>
    <t xml:space="preserve"> KINESIOLOGO</t>
  </si>
  <si>
    <t xml:space="preserve"> MAESTRO ORIENTADOR</t>
  </si>
  <si>
    <t xml:space="preserve"> MAESTRO DE EDUCACION MUSICAL</t>
  </si>
  <si>
    <t xml:space="preserve"> MAESTRO DE ACTIVIDADES PRACTICAS</t>
  </si>
  <si>
    <t xml:space="preserve"> DIRECTOR DPTO APLICACIÓN L. V.</t>
  </si>
  <si>
    <t xml:space="preserve"> SUBDIRECTOR DPTO APLICACION L.V.</t>
  </si>
  <si>
    <t xml:space="preserve"> JEFE DPTO EDUCACION FISICA</t>
  </si>
  <si>
    <t xml:space="preserve"> DIRECTOR JARDIN DE INFANTES</t>
  </si>
  <si>
    <t xml:space="preserve"> SUBDIRECTOR JARDIN DE INFANTES</t>
  </si>
  <si>
    <t xml:space="preserve"> MAESTRO DE GRADO L.V.</t>
  </si>
  <si>
    <t xml:space="preserve"> MAESTRO ESP DPTO APLICACION L.V.</t>
  </si>
  <si>
    <t xml:space="preserve"> ANALISTA TECNICO</t>
  </si>
  <si>
    <t xml:space="preserve"> MAESTRO ESPECIAL JARDIN DEINFANTES</t>
  </si>
  <si>
    <t xml:space="preserve"> DIRECTOR/RECTOR 1§ - 2 TURNOS</t>
  </si>
  <si>
    <t xml:space="preserve"> DIRECTOR/RECTOR 1§ - 3 TURNOS</t>
  </si>
  <si>
    <t xml:space="preserve"> VICEDIRECTOR 1RA Y 2DA</t>
  </si>
  <si>
    <t xml:space="preserve"> REGENTE</t>
  </si>
  <si>
    <t xml:space="preserve"> VICERECTOR CURSO PROF.</t>
  </si>
  <si>
    <t xml:space="preserve"> RECTOR CURSO PROF.</t>
  </si>
  <si>
    <t xml:space="preserve"> SECRETARIO NIVEL SUPERIOR</t>
  </si>
  <si>
    <t xml:space="preserve"> PROSECRETARIO NIVEL SUPERIOR</t>
  </si>
  <si>
    <t xml:space="preserve"> JEFE TRABAJOS PRACTICOS</t>
  </si>
  <si>
    <t xml:space="preserve"> DIRECTOR</t>
  </si>
  <si>
    <t xml:space="preserve"> ANALISTA PRINC TEC DOC</t>
  </si>
  <si>
    <t>SUPERVISOR DE INSTITUTO SUPERIOR</t>
  </si>
  <si>
    <t/>
  </si>
  <si>
    <t>Prol JORN</t>
  </si>
  <si>
    <t>jorn Compl</t>
  </si>
  <si>
    <t xml:space="preserve"> tarea DIFER.</t>
  </si>
  <si>
    <t>PUNTOS basicos</t>
  </si>
  <si>
    <t xml:space="preserve">CARGOS </t>
  </si>
  <si>
    <t>078</t>
  </si>
  <si>
    <t>016</t>
  </si>
  <si>
    <t>052</t>
  </si>
  <si>
    <t>010</t>
  </si>
  <si>
    <t>001</t>
  </si>
  <si>
    <t>Asignación de la categoría</t>
  </si>
  <si>
    <t>188</t>
  </si>
  <si>
    <t>172</t>
  </si>
  <si>
    <t>006</t>
  </si>
  <si>
    <t>014</t>
  </si>
  <si>
    <t>084</t>
  </si>
  <si>
    <t>113</t>
  </si>
  <si>
    <t>502</t>
  </si>
  <si>
    <t>504</t>
  </si>
  <si>
    <t>505</t>
  </si>
  <si>
    <t>510</t>
  </si>
  <si>
    <t>099</t>
  </si>
  <si>
    <t>Ant. Comp Nación</t>
  </si>
  <si>
    <t>Prolongación de Jornada</t>
  </si>
  <si>
    <t>Función diferencial docente</t>
  </si>
  <si>
    <t>Varios</t>
  </si>
  <si>
    <t>Total Asignaciones Familiares</t>
  </si>
  <si>
    <t>Anticipo FONID</t>
  </si>
  <si>
    <t>Sueldo líquido provincia</t>
  </si>
  <si>
    <t>Adicional para mínimo</t>
  </si>
  <si>
    <t>FONID 2006</t>
  </si>
  <si>
    <t>Años de antigüedad</t>
  </si>
  <si>
    <t>CONCEPTO</t>
  </si>
  <si>
    <t>HABERES</t>
  </si>
  <si>
    <t>DESCUENTOS</t>
  </si>
  <si>
    <t xml:space="preserve"> Ley 4035</t>
  </si>
  <si>
    <t>Seg vida</t>
  </si>
  <si>
    <t>Ob social</t>
  </si>
  <si>
    <t xml:space="preserve"> Ap jubilat</t>
  </si>
  <si>
    <t>Puntos de jornada completa</t>
  </si>
  <si>
    <t>Adic. Art. 2 y 3 Dcrto. 5863/05</t>
  </si>
  <si>
    <t>Product. Dcrto. 5863/05</t>
  </si>
  <si>
    <t>Plus productividad docente</t>
  </si>
  <si>
    <t>004</t>
  </si>
  <si>
    <t>Horas cátedra</t>
  </si>
  <si>
    <t>Productiv Dcrto. 5863/05</t>
  </si>
  <si>
    <t>Ant comp Nación</t>
  </si>
  <si>
    <t>440</t>
  </si>
  <si>
    <t>Reajuste cod 188</t>
  </si>
  <si>
    <t>Obra social</t>
  </si>
  <si>
    <t>Ley 4035</t>
  </si>
  <si>
    <t>Ap jubilatorio</t>
  </si>
  <si>
    <t>Otros</t>
  </si>
  <si>
    <t>Miembro de Comisión de Salario AGMER</t>
  </si>
  <si>
    <t>Escala de antigüedades</t>
  </si>
  <si>
    <t>Años</t>
  </si>
  <si>
    <t>Porcentaje</t>
  </si>
  <si>
    <t>Años de Antigüedad</t>
  </si>
  <si>
    <t>listado de cargos</t>
  </si>
  <si>
    <t>cargos</t>
  </si>
  <si>
    <t>Simulación de recibo de cada compañero</t>
  </si>
  <si>
    <t>Si no conocen el número de cargo, lo pueden buscar en la hoja "cargos", seleccionando la pestaña</t>
  </si>
  <si>
    <t>número para luego ingresarlo en el lugar especificado.</t>
  </si>
  <si>
    <r>
      <t xml:space="preserve">Se deben completar los datos en </t>
    </r>
    <r>
      <rPr>
        <b/>
        <sz val="12"/>
        <color indexed="10"/>
        <rFont val="Arial"/>
        <family val="2"/>
      </rPr>
      <t>rojo</t>
    </r>
    <r>
      <rPr>
        <sz val="12"/>
        <rFont val="Arial"/>
        <family val="2"/>
      </rPr>
      <t xml:space="preserve"> y es posible que los </t>
    </r>
    <r>
      <rPr>
        <b/>
        <sz val="12"/>
        <color indexed="53"/>
        <rFont val="Arial"/>
        <family val="2"/>
      </rPr>
      <t>naranjas,</t>
    </r>
    <r>
      <rPr>
        <sz val="12"/>
        <rFont val="Arial"/>
        <family val="2"/>
      </rPr>
      <t xml:space="preserve"> lo demás se calcula todo solo.</t>
    </r>
  </si>
  <si>
    <r>
      <t xml:space="preserve">No tocar los demás valores porque se descontrola, en ese caso no arreglar, </t>
    </r>
    <r>
      <rPr>
        <b/>
        <sz val="12"/>
        <rFont val="Arial"/>
        <family val="2"/>
      </rPr>
      <t>solo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deshacer cambios</t>
    </r>
    <r>
      <rPr>
        <sz val="12"/>
        <rFont val="Arial"/>
        <family val="2"/>
      </rPr>
      <t>.</t>
    </r>
  </si>
  <si>
    <t>porc rem cod17</t>
  </si>
  <si>
    <t>NOMBRE del cargo</t>
  </si>
  <si>
    <t>Buscar en la hoja cargos si no saben el número del cargo y luego controlar por el nombre</t>
  </si>
  <si>
    <t>Listado de Cargos</t>
  </si>
  <si>
    <t>Medio Aguinaldo</t>
  </si>
  <si>
    <t>código 100</t>
  </si>
  <si>
    <r>
      <t>código 186 (</t>
    </r>
    <r>
      <rPr>
        <sz val="12"/>
        <rFont val="Arial"/>
        <family val="2"/>
      </rPr>
      <t>No remun)</t>
    </r>
  </si>
  <si>
    <t>Medio aguinaldo</t>
  </si>
  <si>
    <t>Descuentos con aguinaldo</t>
  </si>
  <si>
    <t>Sueldo líquido incluyendo aguinaldo</t>
  </si>
  <si>
    <t>Indices actuales - julio 2006</t>
  </si>
  <si>
    <t>PORCENT</t>
  </si>
  <si>
    <t>CODIGO</t>
  </si>
  <si>
    <r>
      <t xml:space="preserve">que se debe completar </t>
    </r>
    <r>
      <rPr>
        <b/>
        <sz val="12"/>
        <rFont val="Arial"/>
        <family val="2"/>
      </rPr>
      <t>en años</t>
    </r>
    <r>
      <rPr>
        <sz val="12"/>
        <rFont val="Arial"/>
        <family val="2"/>
      </rPr>
      <t xml:space="preserve"> y lo que aparece en rojo, todo lo demás aparece automáticamente</t>
    </r>
  </si>
  <si>
    <r>
      <t>selección,</t>
    </r>
    <r>
      <rPr>
        <sz val="10"/>
        <rFont val="Arial"/>
        <family val="0"/>
      </rPr>
      <t xml:space="preserve"> de lo contrario les va a imprimir toda la planilla, incluyendo comentarios, etc.</t>
    </r>
  </si>
  <si>
    <t>Volver al simulador</t>
  </si>
  <si>
    <r>
      <t xml:space="preserve">Bonific Ubic Escuela </t>
    </r>
    <r>
      <rPr>
        <b/>
        <sz val="10"/>
        <rFont val="Arial"/>
        <family val="2"/>
      </rPr>
      <t>(ZONA)</t>
    </r>
  </si>
  <si>
    <t>porcremybon cod17</t>
  </si>
  <si>
    <t>Aguinaldo de bolsillo</t>
  </si>
  <si>
    <t>valor actual</t>
  </si>
  <si>
    <t>Valores propuestos</t>
  </si>
  <si>
    <t>Nuevo actual</t>
  </si>
  <si>
    <t>indicefeb07</t>
  </si>
  <si>
    <t>cod17feb07</t>
  </si>
  <si>
    <t>cod38feb07</t>
  </si>
  <si>
    <t>cod06feb07</t>
  </si>
  <si>
    <t>proljorfeb07</t>
  </si>
  <si>
    <t>salminimofeb07</t>
  </si>
  <si>
    <t>salminjorcom</t>
  </si>
  <si>
    <t xml:space="preserve">Tabla a la Izquierda </t>
  </si>
  <si>
    <t>cod22</t>
  </si>
  <si>
    <t>cod 022feb07</t>
  </si>
  <si>
    <t>cod22medfeb07</t>
  </si>
  <si>
    <t>cod38supfeb07</t>
  </si>
  <si>
    <t>cod38medfeb07</t>
  </si>
  <si>
    <t>cod22supfeb07</t>
  </si>
  <si>
    <t>cod06supfeb07</t>
  </si>
  <si>
    <t>cod17supfeb07</t>
  </si>
  <si>
    <t>cod22sep06</t>
  </si>
  <si>
    <t>cod22medsep06</t>
  </si>
  <si>
    <t>cod22supsep06</t>
  </si>
  <si>
    <t>Min jor simple</t>
  </si>
  <si>
    <t>Códigos nivel medio prop 8 feb/07</t>
  </si>
  <si>
    <t>cod06medfeb07</t>
  </si>
  <si>
    <t>cod17medfeb07</t>
  </si>
  <si>
    <t>www.celestecompromiso.com.ar</t>
  </si>
  <si>
    <t>1170&lt;pi&lt;1400</t>
  </si>
  <si>
    <t>1401&lt;pi&lt;1942</t>
  </si>
  <si>
    <t>pi&gt;2220</t>
  </si>
  <si>
    <t>1943&lt;pi&lt;=2220</t>
  </si>
  <si>
    <t>cod 38 viejo</t>
  </si>
  <si>
    <t>victorhutt@victorhutt.com.ar</t>
  </si>
  <si>
    <t>Deben seleccionar el número de cargo o  el número de horas que aparecen en rojo, la antigüedad,</t>
  </si>
  <si>
    <t xml:space="preserve">que aparece en la parte inferior izquierda de la pantalla o presionando al final de este párrafo, y buscar su </t>
  </si>
  <si>
    <t>indiceago07</t>
  </si>
  <si>
    <t>cod06medago07</t>
  </si>
  <si>
    <t>cod06supago07</t>
  </si>
  <si>
    <t>proljorago07</t>
  </si>
  <si>
    <t>indicesep07</t>
  </si>
  <si>
    <t>proljorsep07</t>
  </si>
  <si>
    <t>cod06medsep07</t>
  </si>
  <si>
    <t>cod06supsep07</t>
  </si>
  <si>
    <t>indiceoct07</t>
  </si>
  <si>
    <t>proljoroct07</t>
  </si>
  <si>
    <t>cod06medoct07</t>
  </si>
  <si>
    <t>cod06supoct07</t>
  </si>
  <si>
    <r>
      <t xml:space="preserve"> </t>
    </r>
    <r>
      <rPr>
        <sz val="12"/>
        <rFont val="Times New Roman"/>
        <family val="1"/>
      </rPr>
      <t xml:space="preserve"> </t>
    </r>
  </si>
  <si>
    <t>Por los topes de algunos códigos</t>
  </si>
  <si>
    <t>Nº horas que cobran código 06</t>
  </si>
  <si>
    <t>Nº horas que cobran incentivo</t>
  </si>
  <si>
    <t>Nº horas que cobran código 113</t>
  </si>
  <si>
    <t>En el recibo comparado</t>
  </si>
  <si>
    <t xml:space="preserve">código 06, en el incentivo y en el código 113 de Nación. En el caso del código 06 para horas se divide </t>
  </si>
  <si>
    <t xml:space="preserve">topes para ello es necesario comprobar con el recibo en mano la cantidad de horas que se pagan el el </t>
  </si>
  <si>
    <t xml:space="preserve">el tope o máximo por la cantidad de recibos del agente, y en todos se paga la misma cantidad de horas, </t>
  </si>
  <si>
    <t xml:space="preserve">sin importar la cantidad de horas a la que corresponda el recibo. Por ejemplo, si un docente de nivel medio </t>
  </si>
  <si>
    <t xml:space="preserve">o a 2 horas. Se deberá completar con 2,5 en el lugar asignado para ese código. También se deberá </t>
  </si>
  <si>
    <t>observar la cantidad de horas en el incentivo y en el código 113.</t>
  </si>
  <si>
    <r>
      <t>Aclaración importante:</t>
    </r>
    <r>
      <rPr>
        <b/>
        <sz val="12"/>
        <color indexed="12"/>
        <rFont val="Arial"/>
        <family val="2"/>
      </rPr>
      <t xml:space="preserve"> </t>
    </r>
    <r>
      <rPr>
        <b/>
        <sz val="12"/>
        <color indexed="18"/>
        <rFont val="Arial"/>
        <family val="2"/>
      </rPr>
      <t xml:space="preserve"> En esta versión del simulador intentamos subsanar los errores producidos por los </t>
    </r>
  </si>
  <si>
    <r>
      <t>Si encuentran errores o tienen dudas, por favor avísenme.</t>
    </r>
    <r>
      <rPr>
        <sz val="12"/>
        <color indexed="17"/>
        <rFont val="Arial"/>
        <family val="0"/>
      </rPr>
      <t xml:space="preserve"> victorhutt@victorhutt.com.ar o (03442 432934 AGMER Uruguay)</t>
    </r>
  </si>
  <si>
    <t>hasta 971</t>
  </si>
  <si>
    <t>972&lt;pi&lt;= 1169</t>
  </si>
  <si>
    <t>pijc&gt;=620    971</t>
  </si>
  <si>
    <t>JC &gt; 971</t>
  </si>
  <si>
    <t>JC defint</t>
  </si>
  <si>
    <t>Final</t>
  </si>
  <si>
    <t>Puntos Comp basico</t>
  </si>
  <si>
    <t>Otro código</t>
  </si>
  <si>
    <t>Complemento de Básico</t>
  </si>
  <si>
    <t xml:space="preserve">Marzo de 2008 </t>
  </si>
  <si>
    <t>indicemar08</t>
  </si>
  <si>
    <t>proljormar08</t>
  </si>
  <si>
    <t>indicejul08</t>
  </si>
  <si>
    <t>proljorjul08</t>
  </si>
  <si>
    <t>salminimomar08</t>
  </si>
  <si>
    <t>salminimojul08</t>
  </si>
  <si>
    <t>Aumento Marzo 08</t>
  </si>
  <si>
    <t>Aumento Jul 08</t>
  </si>
  <si>
    <t>Aumento Acumulado</t>
  </si>
  <si>
    <t>Porcent Acumulado</t>
  </si>
  <si>
    <t>Aumento acumulado</t>
  </si>
  <si>
    <t>Acumulado</t>
  </si>
  <si>
    <t xml:space="preserve">Sept de 2007 </t>
  </si>
  <si>
    <t>Var</t>
  </si>
  <si>
    <t xml:space="preserve">Hoja de cálculo  para simular el aumento salarial </t>
  </si>
  <si>
    <t xml:space="preserve">cobra con 8 recibos, percibirá 3,75 horas en elcódigo 06, sin importar que el recibo corresponda a 12 horas </t>
  </si>
  <si>
    <t>Está hecho en base a los valores de Sept 2.007 y propuesta para Marzo y Julio de 2.008.</t>
  </si>
  <si>
    <t>Comp Básico</t>
  </si>
  <si>
    <t xml:space="preserve">Agosto de 2008 </t>
  </si>
  <si>
    <t xml:space="preserve">Octubre de 2008 </t>
  </si>
  <si>
    <t xml:space="preserve">Mayo de 2008 </t>
  </si>
  <si>
    <t>AGOSTO</t>
  </si>
  <si>
    <t>OCTUBRE</t>
  </si>
  <si>
    <t>Diciembre</t>
  </si>
  <si>
    <t>90 % Error</t>
  </si>
  <si>
    <t>indiceago08</t>
  </si>
  <si>
    <t>proljorago08</t>
  </si>
  <si>
    <t>indiceoct08</t>
  </si>
  <si>
    <t>indicedic08</t>
  </si>
  <si>
    <t>proljordic08</t>
  </si>
  <si>
    <t>proljoroct08</t>
  </si>
  <si>
    <t>Mayo</t>
  </si>
  <si>
    <t>Respecto a Julio</t>
  </si>
  <si>
    <t>Anual</t>
  </si>
  <si>
    <t>Variación</t>
  </si>
  <si>
    <t>Agosto de 2008</t>
  </si>
  <si>
    <t>Octubre de 2008</t>
  </si>
  <si>
    <t>Diciembre de 2008</t>
  </si>
  <si>
    <t>mayo</t>
  </si>
  <si>
    <t>Diciembre de 2,008</t>
  </si>
  <si>
    <t>Octubre de 2,008</t>
  </si>
  <si>
    <t>Agosto de 2,008</t>
  </si>
  <si>
    <t>Secretario General</t>
  </si>
  <si>
    <t>Aumento de Agosto, Octubre, Diciembre de 2008. Las explicaciones no están actualizadas.</t>
  </si>
  <si>
    <t>propuesto para Agosto, Octubre y Diciembre de 2.008</t>
  </si>
  <si>
    <t>002</t>
  </si>
</sst>
</file>

<file path=xl/styles.xml><?xml version="1.0" encoding="utf-8"?>
<styleSheet xmlns="http://schemas.openxmlformats.org/spreadsheetml/2006/main">
  <numFmts count="5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  <numFmt numFmtId="173" formatCode="0.000%"/>
    <numFmt numFmtId="174" formatCode="0.0000%"/>
    <numFmt numFmtId="175" formatCode="0.00000%"/>
    <numFmt numFmtId="176" formatCode="0.000000%"/>
    <numFmt numFmtId="177" formatCode="0.0000000%"/>
    <numFmt numFmtId="178" formatCode="0.00000000%"/>
    <numFmt numFmtId="179" formatCode="0.000000000%"/>
    <numFmt numFmtId="180" formatCode="0.0000000000%"/>
    <numFmt numFmtId="181" formatCode="0.00000000000%"/>
    <numFmt numFmtId="182" formatCode="0.000000000000%"/>
    <numFmt numFmtId="183" formatCode="0.0000000000000%"/>
    <numFmt numFmtId="184" formatCode="0.00000000000000%"/>
    <numFmt numFmtId="185" formatCode="0.000000000000000%"/>
    <numFmt numFmtId="186" formatCode="0.0000000000000000%"/>
    <numFmt numFmtId="187" formatCode="0.00000000000000000%"/>
    <numFmt numFmtId="188" formatCode="0.000000000000000000%"/>
    <numFmt numFmtId="189" formatCode="0.000"/>
    <numFmt numFmtId="190" formatCode="0.0000"/>
    <numFmt numFmtId="191" formatCode="0.0000000000000000000%"/>
    <numFmt numFmtId="192" formatCode="0.00000000000000000000%"/>
    <numFmt numFmtId="193" formatCode="0.000000000000000000000%"/>
    <numFmt numFmtId="194" formatCode="0.0000000000000000000000%"/>
    <numFmt numFmtId="195" formatCode="_ &quot;$&quot;\ * #,##0.0_ ;_ &quot;$&quot;\ * \-#,##0.0_ ;_ &quot;$&quot;\ * &quot;-&quot;??_ ;_ @_ "/>
    <numFmt numFmtId="196" formatCode="0.0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  <numFmt numFmtId="200" formatCode="0.0000000"/>
    <numFmt numFmtId="201" formatCode="0.000000"/>
    <numFmt numFmtId="202" formatCode="0.00000"/>
    <numFmt numFmtId="203" formatCode="_ &quot;$&quot;\ * #,##0_ ;_ &quot;$&quot;\ * \-#,##0_ ;_ &quot;$&quot;\ * &quot;-&quot;??_ ;_ @_ "/>
    <numFmt numFmtId="204" formatCode="0.00000000"/>
    <numFmt numFmtId="205" formatCode="&quot;$&quot;#,##0.00;\-&quot;$&quot;#,##0.00"/>
    <numFmt numFmtId="206" formatCode="0.000000000"/>
    <numFmt numFmtId="207" formatCode="#,##0.00\ &quot;€&quot;"/>
    <numFmt numFmtId="208" formatCode="[$€-2]\ #,##0.00_);[Red]\([$€-2]\ #,##0.00\)"/>
  </numFmts>
  <fonts count="112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u val="single"/>
      <sz val="12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sz val="8"/>
      <name val="Tahoma"/>
      <family val="0"/>
    </font>
    <font>
      <b/>
      <u val="single"/>
      <sz val="12"/>
      <color indexed="1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7"/>
      <name val="Arial"/>
      <family val="2"/>
    </font>
    <font>
      <sz val="12"/>
      <name val="Times New Roman"/>
      <family val="1"/>
    </font>
    <font>
      <b/>
      <u val="single"/>
      <sz val="16"/>
      <color indexed="18"/>
      <name val="Arial"/>
      <family val="2"/>
    </font>
    <font>
      <b/>
      <sz val="12"/>
      <color indexed="18"/>
      <name val="Arial"/>
      <family val="2"/>
    </font>
    <font>
      <b/>
      <sz val="11"/>
      <name val="Arial"/>
      <family val="2"/>
    </font>
    <font>
      <sz val="10"/>
      <color indexed="12"/>
      <name val="Arial"/>
      <family val="2"/>
    </font>
    <font>
      <b/>
      <sz val="9"/>
      <color indexed="10"/>
      <name val="Arial"/>
      <family val="2"/>
    </font>
    <font>
      <b/>
      <u val="single"/>
      <sz val="16"/>
      <name val="Arial"/>
      <family val="2"/>
    </font>
    <font>
      <b/>
      <sz val="8"/>
      <name val="Tahoma"/>
      <family val="0"/>
    </font>
    <font>
      <b/>
      <sz val="16"/>
      <color indexed="10"/>
      <name val="Arial"/>
      <family val="2"/>
    </font>
    <font>
      <b/>
      <u val="single"/>
      <sz val="12"/>
      <color indexed="12"/>
      <name val="Arial"/>
      <family val="2"/>
    </font>
    <font>
      <b/>
      <sz val="14"/>
      <color indexed="57"/>
      <name val="Arial"/>
      <family val="2"/>
    </font>
    <font>
      <b/>
      <sz val="11"/>
      <color indexed="10"/>
      <name val="Arial"/>
      <family val="2"/>
    </font>
    <font>
      <b/>
      <sz val="12"/>
      <color indexed="8"/>
      <name val="Arial"/>
      <family val="2"/>
    </font>
    <font>
      <b/>
      <sz val="10"/>
      <color indexed="57"/>
      <name val="Arial"/>
      <family val="2"/>
    </font>
    <font>
      <b/>
      <sz val="16"/>
      <color indexed="20"/>
      <name val="Arial"/>
      <family val="2"/>
    </font>
    <font>
      <b/>
      <u val="single"/>
      <sz val="14"/>
      <color indexed="17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12"/>
      <name val="Arial"/>
      <family val="2"/>
    </font>
    <font>
      <sz val="16"/>
      <name val="Arial"/>
      <family val="2"/>
    </font>
    <font>
      <sz val="12"/>
      <color indexed="12"/>
      <name val="Arial"/>
      <family val="2"/>
    </font>
    <font>
      <b/>
      <strike/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10"/>
      <color indexed="55"/>
      <name val="Arial"/>
      <family val="2"/>
    </font>
    <font>
      <b/>
      <sz val="10"/>
      <color indexed="55"/>
      <name val="Arial"/>
      <family val="2"/>
    </font>
    <font>
      <b/>
      <sz val="12"/>
      <color indexed="55"/>
      <name val="Arial"/>
      <family val="2"/>
    </font>
    <font>
      <b/>
      <sz val="12"/>
      <color indexed="53"/>
      <name val="Arial"/>
      <family val="2"/>
    </font>
    <font>
      <sz val="12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sz val="11"/>
      <name val="Arial"/>
      <family val="2"/>
    </font>
    <font>
      <b/>
      <u val="single"/>
      <sz val="10"/>
      <color indexed="12"/>
      <name val="Arial"/>
      <family val="2"/>
    </font>
    <font>
      <b/>
      <u val="single"/>
      <sz val="11"/>
      <color indexed="12"/>
      <name val="Arial"/>
      <family val="2"/>
    </font>
    <font>
      <sz val="10"/>
      <name val="Tahoma"/>
      <family val="2"/>
    </font>
    <font>
      <sz val="12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u val="single"/>
      <sz val="12"/>
      <color indexed="12"/>
      <name val="Arial"/>
      <family val="2"/>
    </font>
    <font>
      <u val="single"/>
      <sz val="14"/>
      <color indexed="12"/>
      <name val="Arial"/>
      <family val="2"/>
    </font>
    <font>
      <b/>
      <sz val="18"/>
      <color indexed="12"/>
      <name val="Arial"/>
      <family val="2"/>
    </font>
    <font>
      <b/>
      <sz val="12"/>
      <color indexed="16"/>
      <name val="Arial"/>
      <family val="2"/>
    </font>
    <font>
      <b/>
      <sz val="10"/>
      <color indexed="16"/>
      <name val="Arial"/>
      <family val="2"/>
    </font>
    <font>
      <b/>
      <u val="single"/>
      <sz val="12"/>
      <color indexed="16"/>
      <name val="Arial"/>
      <family val="2"/>
    </font>
    <font>
      <b/>
      <sz val="11"/>
      <color indexed="16"/>
      <name val="Arial"/>
      <family val="2"/>
    </font>
    <font>
      <sz val="10"/>
      <color indexed="23"/>
      <name val="Arial"/>
      <family val="0"/>
    </font>
    <font>
      <b/>
      <u val="single"/>
      <sz val="14"/>
      <color indexed="9"/>
      <name val="Arial"/>
      <family val="2"/>
    </font>
    <font>
      <b/>
      <sz val="14"/>
      <color indexed="9"/>
      <name val="Arial"/>
      <family val="2"/>
    </font>
    <font>
      <b/>
      <u val="single"/>
      <sz val="11"/>
      <color indexed="9"/>
      <name val="Arial"/>
      <family val="2"/>
    </font>
    <font>
      <b/>
      <sz val="12"/>
      <color indexed="12"/>
      <name val="Duchess"/>
      <family val="0"/>
    </font>
    <font>
      <b/>
      <u val="single"/>
      <sz val="12"/>
      <color indexed="9"/>
      <name val="Arial"/>
      <family val="2"/>
    </font>
    <font>
      <b/>
      <u val="single"/>
      <sz val="18"/>
      <color indexed="18"/>
      <name val="Arial"/>
      <family val="2"/>
    </font>
    <font>
      <b/>
      <sz val="14"/>
      <color indexed="12"/>
      <name val="Arial"/>
      <family val="2"/>
    </font>
    <font>
      <sz val="12"/>
      <color indexed="18"/>
      <name val="Arial"/>
      <family val="0"/>
    </font>
    <font>
      <sz val="12"/>
      <color indexed="17"/>
      <name val="Arial"/>
      <family val="0"/>
    </font>
    <font>
      <sz val="18"/>
      <name val="Arial"/>
      <family val="0"/>
    </font>
    <font>
      <strike/>
      <sz val="10"/>
      <color indexed="8"/>
      <name val="Arial"/>
      <family val="2"/>
    </font>
    <font>
      <b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>
        <color indexed="11"/>
      </right>
      <top style="thick">
        <color indexed="11"/>
      </top>
      <bottom style="thick">
        <color indexed="11"/>
      </bottom>
    </border>
    <border>
      <left style="thick">
        <color indexed="11"/>
      </left>
      <right style="thin"/>
      <top style="thick">
        <color indexed="11"/>
      </top>
      <bottom style="thick">
        <color indexed="11"/>
      </bottom>
    </border>
    <border>
      <left style="medium">
        <color indexed="10"/>
      </left>
      <right style="medium"/>
      <top style="medium">
        <color indexed="10"/>
      </top>
      <bottom>
        <color indexed="63"/>
      </bottom>
    </border>
    <border>
      <left style="medium">
        <color indexed="10"/>
      </left>
      <right style="medium"/>
      <top style="medium">
        <color indexed="10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ck">
        <color indexed="12"/>
      </left>
      <right style="thick">
        <color indexed="12"/>
      </right>
      <top style="thick">
        <color indexed="12"/>
      </top>
      <bottom>
        <color indexed="63"/>
      </bottom>
    </border>
    <border>
      <left style="thick">
        <color indexed="12"/>
      </left>
      <right style="thick">
        <color indexed="12"/>
      </right>
      <top>
        <color indexed="63"/>
      </top>
      <bottom>
        <color indexed="63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4" fillId="2" borderId="0" applyNumberFormat="0" applyBorder="0" applyAlignment="0" applyProtection="0"/>
    <xf numFmtId="0" fontId="94" fillId="3" borderId="0" applyNumberFormat="0" applyBorder="0" applyAlignment="0" applyProtection="0"/>
    <xf numFmtId="0" fontId="94" fillId="4" borderId="0" applyNumberFormat="0" applyBorder="0" applyAlignment="0" applyProtection="0"/>
    <xf numFmtId="0" fontId="94" fillId="5" borderId="0" applyNumberFormat="0" applyBorder="0" applyAlignment="0" applyProtection="0"/>
    <xf numFmtId="0" fontId="94" fillId="6" borderId="0" applyNumberFormat="0" applyBorder="0" applyAlignment="0" applyProtection="0"/>
    <xf numFmtId="0" fontId="94" fillId="7" borderId="0" applyNumberFormat="0" applyBorder="0" applyAlignment="0" applyProtection="0"/>
    <xf numFmtId="0" fontId="94" fillId="8" borderId="0" applyNumberFormat="0" applyBorder="0" applyAlignment="0" applyProtection="0"/>
    <xf numFmtId="0" fontId="94" fillId="9" borderId="0" applyNumberFormat="0" applyBorder="0" applyAlignment="0" applyProtection="0"/>
    <xf numFmtId="0" fontId="94" fillId="10" borderId="0" applyNumberFormat="0" applyBorder="0" applyAlignment="0" applyProtection="0"/>
    <xf numFmtId="0" fontId="94" fillId="11" borderId="0" applyNumberFormat="0" applyBorder="0" applyAlignment="0" applyProtection="0"/>
    <xf numFmtId="0" fontId="94" fillId="12" borderId="0" applyNumberFormat="0" applyBorder="0" applyAlignment="0" applyProtection="0"/>
    <xf numFmtId="0" fontId="94" fillId="13" borderId="0" applyNumberFormat="0" applyBorder="0" applyAlignment="0" applyProtection="0"/>
    <xf numFmtId="0" fontId="95" fillId="14" borderId="0" applyNumberFormat="0" applyBorder="0" applyAlignment="0" applyProtection="0"/>
    <xf numFmtId="0" fontId="95" fillId="15" borderId="0" applyNumberFormat="0" applyBorder="0" applyAlignment="0" applyProtection="0"/>
    <xf numFmtId="0" fontId="95" fillId="16" borderId="0" applyNumberFormat="0" applyBorder="0" applyAlignment="0" applyProtection="0"/>
    <xf numFmtId="0" fontId="95" fillId="17" borderId="0" applyNumberFormat="0" applyBorder="0" applyAlignment="0" applyProtection="0"/>
    <xf numFmtId="0" fontId="95" fillId="18" borderId="0" applyNumberFormat="0" applyBorder="0" applyAlignment="0" applyProtection="0"/>
    <xf numFmtId="0" fontId="95" fillId="19" borderId="0" applyNumberFormat="0" applyBorder="0" applyAlignment="0" applyProtection="0"/>
    <xf numFmtId="0" fontId="96" fillId="20" borderId="0" applyNumberFormat="0" applyBorder="0" applyAlignment="0" applyProtection="0"/>
    <xf numFmtId="0" fontId="97" fillId="21" borderId="1" applyNumberFormat="0" applyAlignment="0" applyProtection="0"/>
    <xf numFmtId="0" fontId="98" fillId="22" borderId="2" applyNumberFormat="0" applyAlignment="0" applyProtection="0"/>
    <xf numFmtId="0" fontId="99" fillId="0" borderId="3" applyNumberFormat="0" applyFill="0" applyAlignment="0" applyProtection="0"/>
    <xf numFmtId="0" fontId="100" fillId="0" borderId="0" applyNumberFormat="0" applyFill="0" applyBorder="0" applyAlignment="0" applyProtection="0"/>
    <xf numFmtId="0" fontId="95" fillId="23" borderId="0" applyNumberFormat="0" applyBorder="0" applyAlignment="0" applyProtection="0"/>
    <xf numFmtId="0" fontId="95" fillId="24" borderId="0" applyNumberFormat="0" applyBorder="0" applyAlignment="0" applyProtection="0"/>
    <xf numFmtId="0" fontId="95" fillId="25" borderId="0" applyNumberFormat="0" applyBorder="0" applyAlignment="0" applyProtection="0"/>
    <xf numFmtId="0" fontId="95" fillId="26" borderId="0" applyNumberFormat="0" applyBorder="0" applyAlignment="0" applyProtection="0"/>
    <xf numFmtId="0" fontId="95" fillId="27" borderId="0" applyNumberFormat="0" applyBorder="0" applyAlignment="0" applyProtection="0"/>
    <xf numFmtId="0" fontId="95" fillId="28" borderId="0" applyNumberFormat="0" applyBorder="0" applyAlignment="0" applyProtection="0"/>
    <xf numFmtId="0" fontId="101" fillId="29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104" fillId="21" borderId="5" applyNumberFormat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6" applyNumberFormat="0" applyFill="0" applyAlignment="0" applyProtection="0"/>
    <xf numFmtId="0" fontId="109" fillId="0" borderId="7" applyNumberFormat="0" applyFill="0" applyAlignment="0" applyProtection="0"/>
    <xf numFmtId="0" fontId="100" fillId="0" borderId="8" applyNumberFormat="0" applyFill="0" applyAlignment="0" applyProtection="0"/>
    <xf numFmtId="0" fontId="110" fillId="0" borderId="9" applyNumberFormat="0" applyFill="0" applyAlignment="0" applyProtection="0"/>
  </cellStyleXfs>
  <cellXfs count="442">
    <xf numFmtId="0" fontId="0" fillId="0" borderId="0" xfId="0" applyAlignment="1">
      <alignment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2" fontId="0" fillId="0" borderId="12" xfId="0" applyNumberForma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2" fontId="0" fillId="0" borderId="14" xfId="0" applyNumberFormat="1" applyBorder="1" applyAlignment="1" applyProtection="1">
      <alignment/>
      <protection/>
    </xf>
    <xf numFmtId="2" fontId="0" fillId="0" borderId="15" xfId="0" applyNumberFormat="1" applyFill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0" borderId="16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/>
      <protection/>
    </xf>
    <xf numFmtId="0" fontId="1" fillId="0" borderId="18" xfId="0" applyFont="1" applyFill="1" applyBorder="1" applyAlignment="1" applyProtection="1">
      <alignment/>
      <protection/>
    </xf>
    <xf numFmtId="0" fontId="1" fillId="0" borderId="18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8" fillId="33" borderId="19" xfId="0" applyFont="1" applyFill="1" applyBorder="1" applyAlignment="1" applyProtection="1">
      <alignment/>
      <protection/>
    </xf>
    <xf numFmtId="2" fontId="0" fillId="0" borderId="0" xfId="0" applyNumberFormat="1" applyFill="1" applyBorder="1" applyAlignment="1" applyProtection="1">
      <alignment/>
      <protection/>
    </xf>
    <xf numFmtId="2" fontId="0" fillId="0" borderId="14" xfId="0" applyNumberForma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31" fillId="34" borderId="17" xfId="0" applyFont="1" applyFill="1" applyBorder="1" applyAlignment="1" applyProtection="1">
      <alignment/>
      <protection/>
    </xf>
    <xf numFmtId="0" fontId="31" fillId="34" borderId="20" xfId="0" applyFont="1" applyFill="1" applyBorder="1" applyAlignment="1" applyProtection="1">
      <alignment/>
      <protection/>
    </xf>
    <xf numFmtId="0" fontId="1" fillId="34" borderId="17" xfId="0" applyFont="1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2" fontId="0" fillId="0" borderId="0" xfId="0" applyNumberFormat="1" applyBorder="1" applyAlignment="1" applyProtection="1">
      <alignment/>
      <protection/>
    </xf>
    <xf numFmtId="2" fontId="1" fillId="0" borderId="0" xfId="0" applyNumberFormat="1" applyFont="1" applyBorder="1" applyAlignment="1" applyProtection="1">
      <alignment/>
      <protection/>
    </xf>
    <xf numFmtId="2" fontId="0" fillId="0" borderId="0" xfId="0" applyNumberFormat="1" applyBorder="1" applyAlignment="1" applyProtection="1">
      <alignment horizontal="left"/>
      <protection/>
    </xf>
    <xf numFmtId="2" fontId="0" fillId="0" borderId="0" xfId="0" applyNumberFormat="1" applyBorder="1" applyAlignment="1" applyProtection="1">
      <alignment horizontal="righ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NumberFormat="1" applyBorder="1" applyAlignment="1" applyProtection="1">
      <alignment/>
      <protection/>
    </xf>
    <xf numFmtId="2" fontId="1" fillId="0" borderId="0" xfId="0" applyNumberFormat="1" applyFont="1" applyBorder="1" applyAlignment="1" applyProtection="1">
      <alignment horizontal="left"/>
      <protection/>
    </xf>
    <xf numFmtId="2" fontId="7" fillId="0" borderId="0" xfId="0" applyNumberFormat="1" applyFont="1" applyBorder="1" applyAlignment="1" applyProtection="1">
      <alignment/>
      <protection/>
    </xf>
    <xf numFmtId="2" fontId="15" fillId="0" borderId="0" xfId="0" applyNumberFormat="1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/>
      <protection/>
    </xf>
    <xf numFmtId="0" fontId="35" fillId="0" borderId="0" xfId="0" applyFont="1" applyBorder="1" applyAlignment="1" applyProtection="1">
      <alignment/>
      <protection/>
    </xf>
    <xf numFmtId="2" fontId="1" fillId="0" borderId="0" xfId="0" applyNumberFormat="1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right"/>
      <protection/>
    </xf>
    <xf numFmtId="0" fontId="36" fillId="35" borderId="13" xfId="45" applyFont="1" applyFill="1" applyBorder="1" applyAlignment="1" applyProtection="1">
      <alignment/>
      <protection/>
    </xf>
    <xf numFmtId="0" fontId="6" fillId="35" borderId="16" xfId="0" applyFont="1" applyFill="1" applyBorder="1" applyAlignment="1" applyProtection="1">
      <alignment/>
      <protection/>
    </xf>
    <xf numFmtId="0" fontId="36" fillId="35" borderId="15" xfId="45" applyFont="1" applyFill="1" applyBorder="1" applyAlignment="1" applyProtection="1">
      <alignment/>
      <protection/>
    </xf>
    <xf numFmtId="0" fontId="37" fillId="0" borderId="0" xfId="0" applyFont="1" applyFill="1" applyBorder="1" applyAlignment="1" applyProtection="1">
      <alignment/>
      <protection/>
    </xf>
    <xf numFmtId="0" fontId="38" fillId="0" borderId="0" xfId="0" applyFont="1" applyAlignment="1" applyProtection="1">
      <alignment/>
      <protection/>
    </xf>
    <xf numFmtId="0" fontId="39" fillId="33" borderId="19" xfId="0" applyFont="1" applyFill="1" applyBorder="1" applyAlignment="1" applyProtection="1">
      <alignment/>
      <protection/>
    </xf>
    <xf numFmtId="0" fontId="39" fillId="33" borderId="21" xfId="0" applyFont="1" applyFill="1" applyBorder="1" applyAlignment="1" applyProtection="1">
      <alignment/>
      <protection/>
    </xf>
    <xf numFmtId="0" fontId="39" fillId="36" borderId="21" xfId="0" applyFont="1" applyFill="1" applyBorder="1" applyAlignment="1" applyProtection="1">
      <alignment/>
      <protection/>
    </xf>
    <xf numFmtId="0" fontId="39" fillId="36" borderId="22" xfId="0" applyFont="1" applyFill="1" applyBorder="1" applyAlignment="1" applyProtection="1">
      <alignment/>
      <protection/>
    </xf>
    <xf numFmtId="0" fontId="24" fillId="35" borderId="12" xfId="0" applyFont="1" applyFill="1" applyBorder="1" applyAlignment="1" applyProtection="1">
      <alignment/>
      <protection/>
    </xf>
    <xf numFmtId="0" fontId="24" fillId="35" borderId="23" xfId="0" applyFont="1" applyFill="1" applyBorder="1" applyAlignment="1" applyProtection="1">
      <alignment/>
      <protection/>
    </xf>
    <xf numFmtId="0" fontId="2" fillId="37" borderId="20" xfId="0" applyFont="1" applyFill="1" applyBorder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8" fillId="38" borderId="23" xfId="0" applyFont="1" applyFill="1" applyBorder="1" applyAlignment="1" applyProtection="1">
      <alignment/>
      <protection hidden="1"/>
    </xf>
    <xf numFmtId="0" fontId="1" fillId="0" borderId="24" xfId="0" applyFont="1" applyBorder="1" applyAlignment="1" applyProtection="1">
      <alignment/>
      <protection hidden="1"/>
    </xf>
    <xf numFmtId="0" fontId="1" fillId="0" borderId="25" xfId="0" applyFont="1" applyBorder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40" fillId="0" borderId="0" xfId="0" applyFont="1" applyAlignment="1" applyProtection="1">
      <alignment/>
      <protection hidden="1"/>
    </xf>
    <xf numFmtId="0" fontId="1" fillId="0" borderId="26" xfId="0" applyFont="1" applyBorder="1" applyAlignment="1" applyProtection="1">
      <alignment/>
      <protection hidden="1"/>
    </xf>
    <xf numFmtId="0" fontId="0" fillId="0" borderId="27" xfId="0" applyBorder="1" applyAlignment="1" applyProtection="1">
      <alignment/>
      <protection hidden="1"/>
    </xf>
    <xf numFmtId="0" fontId="41" fillId="0" borderId="27" xfId="0" applyFont="1" applyBorder="1" applyAlignment="1" applyProtection="1">
      <alignment/>
      <protection hidden="1"/>
    </xf>
    <xf numFmtId="0" fontId="0" fillId="0" borderId="28" xfId="0" applyBorder="1" applyAlignment="1" applyProtection="1">
      <alignment/>
      <protection hidden="1"/>
    </xf>
    <xf numFmtId="0" fontId="42" fillId="0" borderId="27" xfId="0" applyFont="1" applyBorder="1" applyAlignment="1" applyProtection="1">
      <alignment/>
      <protection hidden="1"/>
    </xf>
    <xf numFmtId="0" fontId="0" fillId="38" borderId="27" xfId="0" applyFill="1" applyBorder="1" applyAlignment="1" applyProtection="1">
      <alignment/>
      <protection hidden="1"/>
    </xf>
    <xf numFmtId="0" fontId="41" fillId="38" borderId="27" xfId="0" applyFont="1" applyFill="1" applyBorder="1" applyAlignment="1" applyProtection="1">
      <alignment/>
      <protection hidden="1"/>
    </xf>
    <xf numFmtId="0" fontId="0" fillId="38" borderId="28" xfId="0" applyFill="1" applyBorder="1" applyAlignment="1" applyProtection="1">
      <alignment/>
      <protection hidden="1"/>
    </xf>
    <xf numFmtId="0" fontId="2" fillId="0" borderId="27" xfId="0" applyFont="1" applyBorder="1" applyAlignment="1" applyProtection="1">
      <alignment/>
      <protection hidden="1"/>
    </xf>
    <xf numFmtId="0" fontId="24" fillId="0" borderId="27" xfId="0" applyFont="1" applyBorder="1" applyAlignment="1" applyProtection="1">
      <alignment/>
      <protection hidden="1"/>
    </xf>
    <xf numFmtId="0" fontId="2" fillId="0" borderId="28" xfId="0" applyFont="1" applyBorder="1" applyAlignment="1" applyProtection="1">
      <alignment/>
      <protection hidden="1"/>
    </xf>
    <xf numFmtId="0" fontId="1" fillId="0" borderId="27" xfId="0" applyFont="1" applyBorder="1" applyAlignment="1" applyProtection="1">
      <alignment/>
      <protection hidden="1"/>
    </xf>
    <xf numFmtId="0" fontId="40" fillId="0" borderId="27" xfId="0" applyFont="1" applyBorder="1" applyAlignment="1" applyProtection="1">
      <alignment/>
      <protection hidden="1"/>
    </xf>
    <xf numFmtId="0" fontId="1" fillId="0" borderId="28" xfId="0" applyFont="1" applyBorder="1" applyAlignment="1" applyProtection="1">
      <alignment/>
      <protection hidden="1"/>
    </xf>
    <xf numFmtId="0" fontId="0" fillId="0" borderId="29" xfId="0" applyBorder="1" applyAlignment="1" applyProtection="1">
      <alignment/>
      <protection hidden="1"/>
    </xf>
    <xf numFmtId="0" fontId="0" fillId="0" borderId="30" xfId="0" applyBorder="1" applyAlignment="1" applyProtection="1">
      <alignment/>
      <protection hidden="1"/>
    </xf>
    <xf numFmtId="0" fontId="0" fillId="0" borderId="31" xfId="0" applyBorder="1" applyAlignment="1" applyProtection="1">
      <alignment/>
      <protection/>
    </xf>
    <xf numFmtId="9" fontId="8" fillId="33" borderId="28" xfId="54" applyFont="1" applyFill="1" applyBorder="1" applyAlignment="1" applyProtection="1">
      <alignment/>
      <protection/>
    </xf>
    <xf numFmtId="9" fontId="8" fillId="33" borderId="32" xfId="54" applyFont="1" applyFill="1" applyBorder="1" applyAlignment="1" applyProtection="1">
      <alignment/>
      <protection/>
    </xf>
    <xf numFmtId="9" fontId="8" fillId="36" borderId="28" xfId="54" applyFont="1" applyFill="1" applyBorder="1" applyAlignment="1" applyProtection="1">
      <alignment/>
      <protection/>
    </xf>
    <xf numFmtId="9" fontId="8" fillId="36" borderId="29" xfId="54" applyFont="1" applyFill="1" applyBorder="1" applyAlignment="1" applyProtection="1">
      <alignment/>
      <protection/>
    </xf>
    <xf numFmtId="0" fontId="0" fillId="0" borderId="33" xfId="0" applyFont="1" applyFill="1" applyBorder="1" applyAlignment="1" applyProtection="1">
      <alignment/>
      <protection/>
    </xf>
    <xf numFmtId="0" fontId="0" fillId="0" borderId="27" xfId="0" applyFont="1" applyFill="1" applyBorder="1" applyAlignment="1" applyProtection="1" quotePrefix="1">
      <alignment horizontal="center"/>
      <protection/>
    </xf>
    <xf numFmtId="9" fontId="30" fillId="0" borderId="27" xfId="0" applyNumberFormat="1" applyFont="1" applyBorder="1" applyAlignment="1" applyProtection="1">
      <alignment/>
      <protection locked="0"/>
    </xf>
    <xf numFmtId="9" fontId="1" fillId="0" borderId="0" xfId="0" applyNumberFormat="1" applyFont="1" applyFill="1" applyBorder="1" applyAlignment="1" applyProtection="1">
      <alignment/>
      <protection/>
    </xf>
    <xf numFmtId="9" fontId="0" fillId="0" borderId="0" xfId="0" applyNumberFormat="1" applyAlignment="1" applyProtection="1">
      <alignment/>
      <protection/>
    </xf>
    <xf numFmtId="1" fontId="5" fillId="0" borderId="11" xfId="54" applyNumberFormat="1" applyFont="1" applyBorder="1" applyAlignment="1" applyProtection="1">
      <alignment horizontal="center"/>
      <protection locked="0"/>
    </xf>
    <xf numFmtId="2" fontId="43" fillId="0" borderId="0" xfId="0" applyNumberFormat="1" applyFont="1" applyFill="1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0" fillId="0" borderId="25" xfId="0" applyBorder="1" applyAlignment="1" applyProtection="1">
      <alignment horizontal="left"/>
      <protection/>
    </xf>
    <xf numFmtId="0" fontId="43" fillId="0" borderId="0" xfId="0" applyFont="1" applyAlignment="1" applyProtection="1">
      <alignment/>
      <protection/>
    </xf>
    <xf numFmtId="0" fontId="45" fillId="0" borderId="0" xfId="0" applyFont="1" applyAlignment="1" applyProtection="1">
      <alignment/>
      <protection/>
    </xf>
    <xf numFmtId="2" fontId="43" fillId="0" borderId="12" xfId="0" applyNumberFormat="1" applyFont="1" applyBorder="1" applyAlignment="1" applyProtection="1">
      <alignment/>
      <protection/>
    </xf>
    <xf numFmtId="0" fontId="43" fillId="0" borderId="20" xfId="0" applyFont="1" applyBorder="1" applyAlignment="1" applyProtection="1">
      <alignment/>
      <protection/>
    </xf>
    <xf numFmtId="0" fontId="43" fillId="0" borderId="13" xfId="0" applyFont="1" applyBorder="1" applyAlignment="1" applyProtection="1">
      <alignment/>
      <protection/>
    </xf>
    <xf numFmtId="0" fontId="43" fillId="0" borderId="16" xfId="0" applyFont="1" applyBorder="1" applyAlignment="1" applyProtection="1">
      <alignment/>
      <protection/>
    </xf>
    <xf numFmtId="2" fontId="43" fillId="0" borderId="14" xfId="0" applyNumberFormat="1" applyFont="1" applyBorder="1" applyAlignment="1" applyProtection="1">
      <alignment/>
      <protection/>
    </xf>
    <xf numFmtId="0" fontId="43" fillId="0" borderId="17" xfId="0" applyFont="1" applyBorder="1" applyAlignment="1" applyProtection="1">
      <alignment/>
      <protection/>
    </xf>
    <xf numFmtId="0" fontId="44" fillId="0" borderId="17" xfId="0" applyFont="1" applyBorder="1" applyAlignment="1" applyProtection="1">
      <alignment/>
      <protection/>
    </xf>
    <xf numFmtId="2" fontId="43" fillId="0" borderId="14" xfId="0" applyNumberFormat="1" applyFont="1" applyFill="1" applyBorder="1" applyAlignment="1" applyProtection="1">
      <alignment/>
      <protection/>
    </xf>
    <xf numFmtId="0" fontId="43" fillId="0" borderId="17" xfId="0" applyFont="1" applyFill="1" applyBorder="1" applyAlignment="1" applyProtection="1">
      <alignment/>
      <protection/>
    </xf>
    <xf numFmtId="2" fontId="43" fillId="0" borderId="15" xfId="0" applyNumberFormat="1" applyFont="1" applyFill="1" applyBorder="1" applyAlignment="1" applyProtection="1">
      <alignment/>
      <protection/>
    </xf>
    <xf numFmtId="0" fontId="43" fillId="0" borderId="18" xfId="0" applyFont="1" applyFill="1" applyBorder="1" applyAlignment="1" applyProtection="1">
      <alignment/>
      <protection/>
    </xf>
    <xf numFmtId="0" fontId="44" fillId="0" borderId="17" xfId="0" applyFont="1" applyFill="1" applyBorder="1" applyAlignment="1" applyProtection="1">
      <alignment/>
      <protection/>
    </xf>
    <xf numFmtId="0" fontId="43" fillId="0" borderId="14" xfId="0" applyFont="1" applyBorder="1" applyAlignment="1" applyProtection="1">
      <alignment/>
      <protection/>
    </xf>
    <xf numFmtId="0" fontId="43" fillId="0" borderId="15" xfId="0" applyFont="1" applyBorder="1" applyAlignment="1" applyProtection="1">
      <alignment/>
      <protection/>
    </xf>
    <xf numFmtId="0" fontId="43" fillId="0" borderId="18" xfId="0" applyFont="1" applyBorder="1" applyAlignment="1" applyProtection="1">
      <alignment/>
      <protection/>
    </xf>
    <xf numFmtId="0" fontId="0" fillId="0" borderId="27" xfId="0" applyFill="1" applyBorder="1" applyAlignment="1" applyProtection="1">
      <alignment/>
      <protection/>
    </xf>
    <xf numFmtId="9" fontId="0" fillId="0" borderId="27" xfId="0" applyNumberFormat="1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9" fontId="1" fillId="39" borderId="19" xfId="0" applyNumberFormat="1" applyFont="1" applyFill="1" applyBorder="1" applyAlignment="1" applyProtection="1">
      <alignment/>
      <protection/>
    </xf>
    <xf numFmtId="9" fontId="1" fillId="39" borderId="21" xfId="0" applyNumberFormat="1" applyFont="1" applyFill="1" applyBorder="1" applyAlignment="1" applyProtection="1">
      <alignment/>
      <protection/>
    </xf>
    <xf numFmtId="0" fontId="1" fillId="39" borderId="32" xfId="0" applyFont="1" applyFill="1" applyBorder="1" applyAlignment="1" applyProtection="1">
      <alignment/>
      <protection/>
    </xf>
    <xf numFmtId="0" fontId="1" fillId="39" borderId="28" xfId="0" applyFont="1" applyFill="1" applyBorder="1" applyAlignment="1" applyProtection="1">
      <alignment/>
      <protection/>
    </xf>
    <xf numFmtId="0" fontId="1" fillId="39" borderId="29" xfId="0" applyFont="1" applyFill="1" applyBorder="1" applyAlignment="1" applyProtection="1">
      <alignment/>
      <protection/>
    </xf>
    <xf numFmtId="9" fontId="1" fillId="39" borderId="22" xfId="0" applyNumberFormat="1" applyFont="1" applyFill="1" applyBorder="1" applyAlignment="1" applyProtection="1">
      <alignment/>
      <protection/>
    </xf>
    <xf numFmtId="0" fontId="1" fillId="34" borderId="12" xfId="0" applyFont="1" applyFill="1" applyBorder="1" applyAlignment="1" applyProtection="1">
      <alignment horizontal="left"/>
      <protection/>
    </xf>
    <xf numFmtId="0" fontId="1" fillId="34" borderId="16" xfId="0" applyFont="1" applyFill="1" applyBorder="1" applyAlignment="1" applyProtection="1">
      <alignment horizontal="center"/>
      <protection/>
    </xf>
    <xf numFmtId="0" fontId="1" fillId="34" borderId="34" xfId="0" applyFont="1" applyFill="1" applyBorder="1" applyAlignment="1" applyProtection="1">
      <alignment horizontal="center"/>
      <protection/>
    </xf>
    <xf numFmtId="0" fontId="50" fillId="0" borderId="0" xfId="0" applyFont="1" applyFill="1" applyAlignment="1" applyProtection="1">
      <alignment/>
      <protection/>
    </xf>
    <xf numFmtId="0" fontId="28" fillId="0" borderId="0" xfId="45" applyFont="1" applyFill="1" applyAlignment="1" applyProtection="1">
      <alignment/>
      <protection/>
    </xf>
    <xf numFmtId="0" fontId="13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35" xfId="0" applyBorder="1" applyAlignment="1" applyProtection="1">
      <alignment horizontal="left"/>
      <protection/>
    </xf>
    <xf numFmtId="0" fontId="0" fillId="0" borderId="24" xfId="0" applyBorder="1" applyAlignment="1" applyProtection="1">
      <alignment/>
      <protection/>
    </xf>
    <xf numFmtId="0" fontId="13" fillId="0" borderId="31" xfId="0" applyFont="1" applyBorder="1" applyAlignment="1" applyProtection="1">
      <alignment/>
      <protection/>
    </xf>
    <xf numFmtId="0" fontId="5" fillId="0" borderId="36" xfId="0" applyFont="1" applyBorder="1" applyAlignment="1" applyProtection="1">
      <alignment horizontal="left"/>
      <protection locked="0"/>
    </xf>
    <xf numFmtId="0" fontId="29" fillId="37" borderId="37" xfId="0" applyFont="1" applyFill="1" applyBorder="1" applyAlignment="1" applyProtection="1">
      <alignment/>
      <protection/>
    </xf>
    <xf numFmtId="0" fontId="36" fillId="35" borderId="14" xfId="45" applyFont="1" applyFill="1" applyBorder="1" applyAlignment="1" applyProtection="1">
      <alignment/>
      <protection/>
    </xf>
    <xf numFmtId="0" fontId="6" fillId="35" borderId="17" xfId="0" applyFont="1" applyFill="1" applyBorder="1" applyAlignment="1" applyProtection="1">
      <alignment/>
      <protection/>
    </xf>
    <xf numFmtId="0" fontId="19" fillId="0" borderId="0" xfId="0" applyFont="1" applyFill="1" applyAlignment="1" applyProtection="1">
      <alignment/>
      <protection/>
    </xf>
    <xf numFmtId="0" fontId="6" fillId="35" borderId="18" xfId="0" applyFont="1" applyFill="1" applyBorder="1" applyAlignment="1" applyProtection="1">
      <alignment/>
      <protection/>
    </xf>
    <xf numFmtId="0" fontId="0" fillId="37" borderId="0" xfId="0" applyFill="1" applyAlignment="1" applyProtection="1">
      <alignment/>
      <protection/>
    </xf>
    <xf numFmtId="0" fontId="0" fillId="38" borderId="0" xfId="0" applyFill="1" applyAlignment="1" applyProtection="1">
      <alignment/>
      <protection/>
    </xf>
    <xf numFmtId="0" fontId="27" fillId="0" borderId="12" xfId="0" applyFont="1" applyBorder="1" applyAlignment="1" applyProtection="1">
      <alignment/>
      <protection/>
    </xf>
    <xf numFmtId="0" fontId="33" fillId="38" borderId="0" xfId="0" applyFont="1" applyFill="1" applyAlignment="1" applyProtection="1">
      <alignment horizontal="right"/>
      <protection/>
    </xf>
    <xf numFmtId="0" fontId="25" fillId="37" borderId="0" xfId="0" applyFont="1" applyFill="1" applyBorder="1" applyAlignment="1" applyProtection="1">
      <alignment/>
      <protection/>
    </xf>
    <xf numFmtId="0" fontId="0" fillId="37" borderId="0" xfId="0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2" fontId="3" fillId="0" borderId="0" xfId="0" applyNumberFormat="1" applyFont="1" applyFill="1" applyBorder="1" applyAlignment="1" applyProtection="1">
      <alignment horizontal="right"/>
      <protection/>
    </xf>
    <xf numFmtId="0" fontId="24" fillId="35" borderId="0" xfId="0" applyFont="1" applyFill="1" applyAlignment="1" applyProtection="1">
      <alignment/>
      <protection/>
    </xf>
    <xf numFmtId="0" fontId="2" fillId="37" borderId="0" xfId="0" applyFont="1" applyFill="1" applyAlignment="1" applyProtection="1">
      <alignment/>
      <protection/>
    </xf>
    <xf numFmtId="0" fontId="3" fillId="0" borderId="0" xfId="0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right"/>
      <protection/>
    </xf>
    <xf numFmtId="0" fontId="19" fillId="0" borderId="0" xfId="0" applyFont="1" applyAlignment="1" applyProtection="1">
      <alignment/>
      <protection/>
    </xf>
    <xf numFmtId="0" fontId="23" fillId="0" borderId="20" xfId="0" applyFont="1" applyBorder="1" applyAlignment="1" applyProtection="1">
      <alignment/>
      <protection/>
    </xf>
    <xf numFmtId="2" fontId="3" fillId="0" borderId="0" xfId="0" applyNumberFormat="1" applyFont="1" applyBorder="1" applyAlignment="1" applyProtection="1">
      <alignment horizontal="right"/>
      <protection/>
    </xf>
    <xf numFmtId="0" fontId="20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0" fillId="40" borderId="0" xfId="0" applyFill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10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0" fontId="1" fillId="0" borderId="27" xfId="0" applyFont="1" applyBorder="1" applyAlignment="1" applyProtection="1">
      <alignment/>
      <protection/>
    </xf>
    <xf numFmtId="0" fontId="1" fillId="0" borderId="24" xfId="0" applyFont="1" applyBorder="1" applyAlignment="1" applyProtection="1">
      <alignment/>
      <protection/>
    </xf>
    <xf numFmtId="0" fontId="40" fillId="0" borderId="34" xfId="0" applyFont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9" fontId="7" fillId="0" borderId="0" xfId="54" applyFont="1" applyBorder="1" applyAlignment="1" applyProtection="1">
      <alignment horizontal="center"/>
      <protection/>
    </xf>
    <xf numFmtId="0" fontId="6" fillId="0" borderId="37" xfId="0" applyFont="1" applyBorder="1" applyAlignment="1" applyProtection="1">
      <alignment/>
      <protection/>
    </xf>
    <xf numFmtId="1" fontId="6" fillId="0" borderId="37" xfId="0" applyNumberFormat="1" applyFont="1" applyBorder="1" applyAlignment="1" applyProtection="1">
      <alignment/>
      <protection/>
    </xf>
    <xf numFmtId="0" fontId="0" fillId="0" borderId="37" xfId="0" applyFont="1" applyBorder="1" applyAlignment="1" applyProtection="1">
      <alignment horizontal="left"/>
      <protection/>
    </xf>
    <xf numFmtId="0" fontId="0" fillId="0" borderId="18" xfId="0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0" fillId="0" borderId="27" xfId="0" applyFont="1" applyBorder="1" applyAlignment="1" applyProtection="1" quotePrefix="1">
      <alignment horizontal="center"/>
      <protection/>
    </xf>
    <xf numFmtId="0" fontId="0" fillId="0" borderId="33" xfId="0" applyBorder="1" applyAlignment="1" applyProtection="1">
      <alignment/>
      <protection/>
    </xf>
    <xf numFmtId="2" fontId="0" fillId="0" borderId="35" xfId="0" applyNumberFormat="1" applyBorder="1" applyAlignment="1" applyProtection="1">
      <alignment horizontal="left"/>
      <protection/>
    </xf>
    <xf numFmtId="0" fontId="0" fillId="0" borderId="27" xfId="0" applyFont="1" applyBorder="1" applyAlignment="1" applyProtection="1">
      <alignment/>
      <protection/>
    </xf>
    <xf numFmtId="2" fontId="0" fillId="0" borderId="27" xfId="0" applyNumberFormat="1" applyFont="1" applyBorder="1" applyAlignment="1" applyProtection="1" quotePrefix="1">
      <alignment horizontal="center"/>
      <protection/>
    </xf>
    <xf numFmtId="9" fontId="0" fillId="0" borderId="33" xfId="0" applyNumberFormat="1" applyBorder="1" applyAlignment="1" applyProtection="1">
      <alignment/>
      <protection/>
    </xf>
    <xf numFmtId="2" fontId="0" fillId="0" borderId="25" xfId="0" applyNumberFormat="1" applyBorder="1" applyAlignment="1" applyProtection="1">
      <alignment horizontal="left"/>
      <protection/>
    </xf>
    <xf numFmtId="2" fontId="0" fillId="0" borderId="0" xfId="0" applyNumberFormat="1" applyFill="1" applyBorder="1" applyAlignment="1" applyProtection="1">
      <alignment horizontal="left"/>
      <protection/>
    </xf>
    <xf numFmtId="1" fontId="0" fillId="0" borderId="27" xfId="0" applyNumberFormat="1" applyFont="1" applyBorder="1" applyAlignment="1" applyProtection="1" quotePrefix="1">
      <alignment horizontal="center"/>
      <protection/>
    </xf>
    <xf numFmtId="2" fontId="1" fillId="0" borderId="35" xfId="0" applyNumberFormat="1" applyFont="1" applyBorder="1" applyAlignment="1" applyProtection="1">
      <alignment horizontal="left"/>
      <protection/>
    </xf>
    <xf numFmtId="2" fontId="1" fillId="0" borderId="25" xfId="0" applyNumberFormat="1" applyFont="1" applyBorder="1" applyAlignment="1" applyProtection="1">
      <alignment horizontal="left"/>
      <protection/>
    </xf>
    <xf numFmtId="2" fontId="0" fillId="0" borderId="27" xfId="0" applyNumberFormat="1" applyFont="1" applyBorder="1" applyAlignment="1" applyProtection="1">
      <alignment horizontal="center"/>
      <protection/>
    </xf>
    <xf numFmtId="0" fontId="0" fillId="0" borderId="33" xfId="0" applyFill="1" applyBorder="1" applyAlignment="1" applyProtection="1">
      <alignment/>
      <protection/>
    </xf>
    <xf numFmtId="0" fontId="0" fillId="0" borderId="38" xfId="0" applyFill="1" applyBorder="1" applyAlignment="1" applyProtection="1">
      <alignment/>
      <protection/>
    </xf>
    <xf numFmtId="0" fontId="1" fillId="0" borderId="34" xfId="0" applyFont="1" applyBorder="1" applyAlignment="1" applyProtection="1">
      <alignment/>
      <protection/>
    </xf>
    <xf numFmtId="2" fontId="4" fillId="0" borderId="39" xfId="0" applyNumberFormat="1" applyFont="1" applyBorder="1" applyAlignment="1" applyProtection="1">
      <alignment horizontal="left"/>
      <protection/>
    </xf>
    <xf numFmtId="0" fontId="0" fillId="0" borderId="26" xfId="0" applyBorder="1" applyAlignment="1" applyProtection="1">
      <alignment/>
      <protection/>
    </xf>
    <xf numFmtId="0" fontId="1" fillId="0" borderId="38" xfId="0" applyFont="1" applyFill="1" applyBorder="1" applyAlignment="1" applyProtection="1">
      <alignment/>
      <protection/>
    </xf>
    <xf numFmtId="0" fontId="7" fillId="0" borderId="12" xfId="0" applyFont="1" applyFill="1" applyBorder="1" applyAlignment="1" applyProtection="1">
      <alignment/>
      <protection/>
    </xf>
    <xf numFmtId="2" fontId="4" fillId="0" borderId="20" xfId="0" applyNumberFormat="1" applyFont="1" applyBorder="1" applyAlignment="1" applyProtection="1">
      <alignment horizontal="left"/>
      <protection/>
    </xf>
    <xf numFmtId="2" fontId="1" fillId="0" borderId="40" xfId="0" applyNumberFormat="1" applyFont="1" applyBorder="1" applyAlignment="1" applyProtection="1">
      <alignment horizontal="left"/>
      <protection/>
    </xf>
    <xf numFmtId="0" fontId="1" fillId="0" borderId="33" xfId="0" applyFont="1" applyFill="1" applyBorder="1" applyAlignment="1" applyProtection="1">
      <alignment/>
      <protection/>
    </xf>
    <xf numFmtId="0" fontId="0" fillId="0" borderId="40" xfId="0" applyFont="1" applyFill="1" applyBorder="1" applyAlignment="1" applyProtection="1">
      <alignment/>
      <protection/>
    </xf>
    <xf numFmtId="2" fontId="0" fillId="0" borderId="26" xfId="0" applyNumberFormat="1" applyFont="1" applyBorder="1" applyAlignment="1" applyProtection="1">
      <alignment horizontal="right"/>
      <protection/>
    </xf>
    <xf numFmtId="172" fontId="0" fillId="0" borderId="27" xfId="0" applyNumberFormat="1" applyBorder="1" applyAlignment="1" applyProtection="1">
      <alignment/>
      <protection/>
    </xf>
    <xf numFmtId="0" fontId="0" fillId="0" borderId="33" xfId="0" applyBorder="1" applyAlignment="1" applyProtection="1">
      <alignment horizontal="left"/>
      <protection/>
    </xf>
    <xf numFmtId="2" fontId="3" fillId="0" borderId="27" xfId="0" applyNumberFormat="1" applyFont="1" applyBorder="1" applyAlignment="1" applyProtection="1">
      <alignment horizontal="right"/>
      <protection/>
    </xf>
    <xf numFmtId="172" fontId="0" fillId="0" borderId="27" xfId="0" applyNumberFormat="1" applyBorder="1" applyAlignment="1" applyProtection="1">
      <alignment horizontal="right"/>
      <protection/>
    </xf>
    <xf numFmtId="2" fontId="0" fillId="0" borderId="27" xfId="0" applyNumberFormat="1" applyFont="1" applyBorder="1" applyAlignment="1" applyProtection="1">
      <alignment horizontal="right"/>
      <protection/>
    </xf>
    <xf numFmtId="0" fontId="0" fillId="0" borderId="27" xfId="0" applyFont="1" applyBorder="1" applyAlignment="1" applyProtection="1">
      <alignment horizontal="center"/>
      <protection/>
    </xf>
    <xf numFmtId="0" fontId="0" fillId="0" borderId="41" xfId="0" applyBorder="1" applyAlignment="1" applyProtection="1">
      <alignment/>
      <protection/>
    </xf>
    <xf numFmtId="2" fontId="0" fillId="0" borderId="24" xfId="0" applyNumberFormat="1" applyBorder="1" applyAlignment="1" applyProtection="1">
      <alignment/>
      <protection/>
    </xf>
    <xf numFmtId="2" fontId="4" fillId="0" borderId="20" xfId="0" applyNumberFormat="1" applyFont="1" applyBorder="1" applyAlignment="1" applyProtection="1">
      <alignment horizontal="right"/>
      <protection/>
    </xf>
    <xf numFmtId="0" fontId="7" fillId="0" borderId="12" xfId="0" applyFont="1" applyBorder="1" applyAlignment="1" applyProtection="1">
      <alignment/>
      <protection/>
    </xf>
    <xf numFmtId="0" fontId="7" fillId="0" borderId="31" xfId="0" applyFont="1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horizontal="left"/>
      <protection/>
    </xf>
    <xf numFmtId="172" fontId="0" fillId="0" borderId="0" xfId="0" applyNumberForma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10" fontId="9" fillId="0" borderId="0" xfId="54" applyNumberFormat="1" applyFont="1" applyFill="1" applyBorder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9" fontId="7" fillId="0" borderId="0" xfId="54" applyFont="1" applyAlignment="1" applyProtection="1">
      <alignment horizontal="center"/>
      <protection/>
    </xf>
    <xf numFmtId="203" fontId="0" fillId="0" borderId="0" xfId="0" applyNumberFormat="1" applyAlignment="1" applyProtection="1">
      <alignment/>
      <protection/>
    </xf>
    <xf numFmtId="0" fontId="14" fillId="0" borderId="37" xfId="0" applyFont="1" applyBorder="1" applyAlignment="1" applyProtection="1">
      <alignment/>
      <protection/>
    </xf>
    <xf numFmtId="0" fontId="0" fillId="0" borderId="27" xfId="0" applyBorder="1" applyAlignment="1" applyProtection="1" quotePrefix="1">
      <alignment horizontal="right"/>
      <protection/>
    </xf>
    <xf numFmtId="2" fontId="0" fillId="0" borderId="27" xfId="0" applyNumberFormat="1" applyBorder="1" applyAlignment="1" applyProtection="1">
      <alignment horizontal="left"/>
      <protection/>
    </xf>
    <xf numFmtId="0" fontId="0" fillId="0" borderId="25" xfId="0" applyBorder="1" applyAlignment="1" applyProtection="1">
      <alignment/>
      <protection/>
    </xf>
    <xf numFmtId="0" fontId="0" fillId="0" borderId="27" xfId="0" applyFill="1" applyBorder="1" applyAlignment="1" applyProtection="1" quotePrefix="1">
      <alignment horizontal="right"/>
      <protection/>
    </xf>
    <xf numFmtId="0" fontId="0" fillId="0" borderId="27" xfId="0" applyFont="1" applyBorder="1" applyAlignment="1" applyProtection="1" quotePrefix="1">
      <alignment horizontal="right"/>
      <protection/>
    </xf>
    <xf numFmtId="0" fontId="1" fillId="0" borderId="25" xfId="0" applyFont="1" applyBorder="1" applyAlignment="1" applyProtection="1">
      <alignment/>
      <protection/>
    </xf>
    <xf numFmtId="2" fontId="0" fillId="0" borderId="27" xfId="0" applyNumberFormat="1" applyFont="1" applyBorder="1" applyAlignment="1" applyProtection="1" quotePrefix="1">
      <alignment horizontal="right"/>
      <protection/>
    </xf>
    <xf numFmtId="0" fontId="1" fillId="0" borderId="27" xfId="0" applyFont="1" applyBorder="1" applyAlignment="1" applyProtection="1">
      <alignment horizontal="right"/>
      <protection/>
    </xf>
    <xf numFmtId="0" fontId="0" fillId="0" borderId="35" xfId="0" applyBorder="1" applyAlignment="1" applyProtection="1">
      <alignment horizontal="right"/>
      <protection/>
    </xf>
    <xf numFmtId="9" fontId="7" fillId="0" borderId="31" xfId="0" applyNumberFormat="1" applyFont="1" applyBorder="1" applyAlignment="1" applyProtection="1">
      <alignment/>
      <protection/>
    </xf>
    <xf numFmtId="0" fontId="0" fillId="0" borderId="40" xfId="0" applyBorder="1" applyAlignment="1" applyProtection="1">
      <alignment/>
      <protection/>
    </xf>
    <xf numFmtId="0" fontId="1" fillId="0" borderId="40" xfId="0" applyFont="1" applyFill="1" applyBorder="1" applyAlignment="1" applyProtection="1">
      <alignment/>
      <protection/>
    </xf>
    <xf numFmtId="10" fontId="0" fillId="0" borderId="27" xfId="0" applyNumberFormat="1" applyBorder="1" applyAlignment="1" applyProtection="1">
      <alignment/>
      <protection/>
    </xf>
    <xf numFmtId="2" fontId="0" fillId="0" borderId="27" xfId="0" applyNumberFormat="1" applyBorder="1" applyAlignment="1" applyProtection="1">
      <alignment/>
      <protection/>
    </xf>
    <xf numFmtId="0" fontId="0" fillId="0" borderId="27" xfId="0" applyBorder="1" applyAlignment="1" applyProtection="1">
      <alignment horizontal="center"/>
      <protection/>
    </xf>
    <xf numFmtId="2" fontId="0" fillId="0" borderId="24" xfId="0" applyNumberFormat="1" applyBorder="1" applyAlignment="1" applyProtection="1">
      <alignment/>
      <protection/>
    </xf>
    <xf numFmtId="0" fontId="1" fillId="0" borderId="35" xfId="0" applyFont="1" applyBorder="1" applyAlignment="1" applyProtection="1">
      <alignment/>
      <protection/>
    </xf>
    <xf numFmtId="0" fontId="1" fillId="0" borderId="31" xfId="0" applyFont="1" applyBorder="1" applyAlignment="1" applyProtection="1">
      <alignment/>
      <protection/>
    </xf>
    <xf numFmtId="2" fontId="1" fillId="0" borderId="20" xfId="0" applyNumberFormat="1" applyFont="1" applyBorder="1" applyAlignment="1" applyProtection="1">
      <alignment/>
      <protection/>
    </xf>
    <xf numFmtId="2" fontId="4" fillId="0" borderId="20" xfId="0" applyNumberFormat="1" applyFont="1" applyBorder="1" applyAlignment="1" applyProtection="1">
      <alignment horizontal="center" vertical="center"/>
      <protection/>
    </xf>
    <xf numFmtId="2" fontId="4" fillId="0" borderId="0" xfId="0" applyNumberFormat="1" applyFont="1" applyFill="1" applyBorder="1" applyAlignment="1" applyProtection="1">
      <alignment horizontal="left"/>
      <protection/>
    </xf>
    <xf numFmtId="1" fontId="1" fillId="0" borderId="0" xfId="0" applyNumberFormat="1" applyFont="1" applyAlignment="1" applyProtection="1">
      <alignment/>
      <protection/>
    </xf>
    <xf numFmtId="9" fontId="7" fillId="0" borderId="42" xfId="54" applyFont="1" applyBorder="1" applyAlignment="1" applyProtection="1">
      <alignment horizontal="center"/>
      <protection/>
    </xf>
    <xf numFmtId="9" fontId="1" fillId="0" borderId="31" xfId="0" applyNumberFormat="1" applyFont="1" applyBorder="1" applyAlignment="1" applyProtection="1">
      <alignment/>
      <protection/>
    </xf>
    <xf numFmtId="0" fontId="2" fillId="0" borderId="24" xfId="0" applyFont="1" applyBorder="1" applyAlignment="1" applyProtection="1">
      <alignment/>
      <protection locked="0"/>
    </xf>
    <xf numFmtId="2" fontId="5" fillId="0" borderId="40" xfId="0" applyNumberFormat="1" applyFont="1" applyBorder="1" applyAlignment="1" applyProtection="1">
      <alignment horizontal="center"/>
      <protection locked="0"/>
    </xf>
    <xf numFmtId="172" fontId="5" fillId="0" borderId="27" xfId="0" applyNumberFormat="1" applyFont="1" applyFill="1" applyBorder="1" applyAlignment="1" applyProtection="1">
      <alignment/>
      <protection locked="0"/>
    </xf>
    <xf numFmtId="9" fontId="2" fillId="0" borderId="0" xfId="0" applyNumberFormat="1" applyFont="1" applyAlignment="1" applyProtection="1">
      <alignment/>
      <protection locked="0"/>
    </xf>
    <xf numFmtId="0" fontId="7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2" fontId="4" fillId="0" borderId="23" xfId="0" applyNumberFormat="1" applyFont="1" applyBorder="1" applyAlignment="1" applyProtection="1">
      <alignment horizontal="left"/>
      <protection/>
    </xf>
    <xf numFmtId="2" fontId="4" fillId="0" borderId="0" xfId="0" applyNumberFormat="1" applyFont="1" applyBorder="1" applyAlignment="1" applyProtection="1">
      <alignment horizontal="right"/>
      <protection/>
    </xf>
    <xf numFmtId="44" fontId="4" fillId="0" borderId="33" xfId="50" applyFont="1" applyBorder="1" applyAlignment="1" applyProtection="1">
      <alignment horizontal="right"/>
      <protection/>
    </xf>
    <xf numFmtId="0" fontId="7" fillId="0" borderId="34" xfId="0" applyFont="1" applyBorder="1" applyAlignment="1" applyProtection="1">
      <alignment/>
      <protection/>
    </xf>
    <xf numFmtId="44" fontId="4" fillId="0" borderId="33" xfId="50" applyFont="1" applyBorder="1" applyAlignment="1" applyProtection="1">
      <alignment horizontal="left"/>
      <protection/>
    </xf>
    <xf numFmtId="172" fontId="22" fillId="0" borderId="0" xfId="0" applyNumberFormat="1" applyFont="1" applyBorder="1" applyAlignment="1" applyProtection="1">
      <alignment/>
      <protection/>
    </xf>
    <xf numFmtId="14" fontId="0" fillId="0" borderId="0" xfId="0" applyNumberFormat="1" applyBorder="1" applyAlignment="1" applyProtection="1">
      <alignment horizontal="right"/>
      <protection/>
    </xf>
    <xf numFmtId="0" fontId="10" fillId="0" borderId="12" xfId="0" applyFont="1" applyFill="1" applyBorder="1" applyAlignment="1" applyProtection="1">
      <alignment/>
      <protection/>
    </xf>
    <xf numFmtId="0" fontId="52" fillId="0" borderId="0" xfId="0" applyFont="1" applyAlignment="1" applyProtection="1">
      <alignment/>
      <protection/>
    </xf>
    <xf numFmtId="0" fontId="23" fillId="0" borderId="25" xfId="0" applyFont="1" applyBorder="1" applyAlignment="1" applyProtection="1">
      <alignment horizontal="left"/>
      <protection/>
    </xf>
    <xf numFmtId="2" fontId="23" fillId="0" borderId="43" xfId="0" applyNumberFormat="1" applyFont="1" applyBorder="1" applyAlignment="1" applyProtection="1">
      <alignment horizontal="left"/>
      <protection/>
    </xf>
    <xf numFmtId="2" fontId="51" fillId="0" borderId="25" xfId="0" applyNumberFormat="1" applyFont="1" applyBorder="1" applyAlignment="1" applyProtection="1">
      <alignment horizontal="left"/>
      <protection/>
    </xf>
    <xf numFmtId="0" fontId="8" fillId="36" borderId="19" xfId="0" applyFont="1" applyFill="1" applyBorder="1" applyAlignment="1" applyProtection="1">
      <alignment/>
      <protection/>
    </xf>
    <xf numFmtId="9" fontId="9" fillId="0" borderId="27" xfId="0" applyNumberFormat="1" applyFont="1" applyBorder="1" applyAlignment="1" applyProtection="1">
      <alignment/>
      <protection/>
    </xf>
    <xf numFmtId="2" fontId="9" fillId="0" borderId="35" xfId="0" applyNumberFormat="1" applyFont="1" applyBorder="1" applyAlignment="1" applyProtection="1">
      <alignment horizontal="left"/>
      <protection/>
    </xf>
    <xf numFmtId="0" fontId="0" fillId="0" borderId="26" xfId="0" applyFont="1" applyBorder="1" applyAlignment="1" applyProtection="1" quotePrefix="1">
      <alignment horizontal="center"/>
      <protection/>
    </xf>
    <xf numFmtId="49" fontId="41" fillId="0" borderId="26" xfId="0" applyNumberFormat="1" applyFont="1" applyBorder="1" applyAlignment="1" applyProtection="1">
      <alignment horizontal="left"/>
      <protection/>
    </xf>
    <xf numFmtId="2" fontId="0" fillId="0" borderId="44" xfId="0" applyNumberFormat="1" applyBorder="1" applyAlignment="1" applyProtection="1">
      <alignment horizontal="left"/>
      <protection/>
    </xf>
    <xf numFmtId="0" fontId="1" fillId="0" borderId="45" xfId="0" applyFont="1" applyBorder="1" applyAlignment="1" applyProtection="1">
      <alignment/>
      <protection/>
    </xf>
    <xf numFmtId="0" fontId="1" fillId="0" borderId="39" xfId="0" applyFont="1" applyBorder="1" applyAlignment="1" applyProtection="1">
      <alignment/>
      <protection/>
    </xf>
    <xf numFmtId="0" fontId="0" fillId="0" borderId="26" xfId="0" applyBorder="1" applyAlignment="1" applyProtection="1" quotePrefix="1">
      <alignment horizontal="right"/>
      <protection/>
    </xf>
    <xf numFmtId="2" fontId="0" fillId="0" borderId="26" xfId="0" applyNumberFormat="1" applyBorder="1" applyAlignment="1" applyProtection="1">
      <alignment horizontal="left"/>
      <protection/>
    </xf>
    <xf numFmtId="0" fontId="31" fillId="0" borderId="23" xfId="0" applyFont="1" applyBorder="1" applyAlignment="1" applyProtection="1">
      <alignment/>
      <protection/>
    </xf>
    <xf numFmtId="0" fontId="5" fillId="0" borderId="33" xfId="0" applyFont="1" applyFill="1" applyBorder="1" applyAlignment="1" applyProtection="1">
      <alignment horizontal="right"/>
      <protection locked="0"/>
    </xf>
    <xf numFmtId="0" fontId="54" fillId="0" borderId="44" xfId="0" applyFont="1" applyBorder="1" applyAlignment="1" applyProtection="1">
      <alignment horizontal="left"/>
      <protection/>
    </xf>
    <xf numFmtId="0" fontId="54" fillId="0" borderId="35" xfId="0" applyFont="1" applyBorder="1" applyAlignment="1" applyProtection="1">
      <alignment horizontal="left"/>
      <protection/>
    </xf>
    <xf numFmtId="0" fontId="1" fillId="34" borderId="20" xfId="0" applyFont="1" applyFill="1" applyBorder="1" applyAlignment="1" applyProtection="1">
      <alignment horizontal="left"/>
      <protection/>
    </xf>
    <xf numFmtId="0" fontId="55" fillId="0" borderId="0" xfId="0" applyFont="1" applyAlignment="1" applyProtection="1">
      <alignment/>
      <protection/>
    </xf>
    <xf numFmtId="0" fontId="1" fillId="35" borderId="0" xfId="0" applyFont="1" applyFill="1" applyAlignment="1" applyProtection="1">
      <alignment/>
      <protection/>
    </xf>
    <xf numFmtId="0" fontId="1" fillId="41" borderId="0" xfId="0" applyFont="1" applyFill="1" applyAlignment="1" applyProtection="1">
      <alignment/>
      <protection/>
    </xf>
    <xf numFmtId="0" fontId="8" fillId="39" borderId="0" xfId="0" applyFont="1" applyFill="1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horizontal="center" vertical="center"/>
      <protection/>
    </xf>
    <xf numFmtId="0" fontId="22" fillId="0" borderId="0" xfId="0" applyFont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0" fillId="39" borderId="37" xfId="0" applyFill="1" applyBorder="1" applyAlignment="1" applyProtection="1">
      <alignment/>
      <protection/>
    </xf>
    <xf numFmtId="0" fontId="0" fillId="34" borderId="43" xfId="0" applyFill="1" applyBorder="1" applyAlignment="1" applyProtection="1">
      <alignment horizontal="left" indent="1"/>
      <protection/>
    </xf>
    <xf numFmtId="0" fontId="18" fillId="39" borderId="37" xfId="0" applyFont="1" applyFill="1" applyBorder="1" applyAlignment="1" applyProtection="1">
      <alignment horizontal="left" indent="1"/>
      <protection/>
    </xf>
    <xf numFmtId="0" fontId="0" fillId="34" borderId="0" xfId="0" applyFill="1" applyAlignment="1" applyProtection="1">
      <alignment horizontal="left" indent="1"/>
      <protection/>
    </xf>
    <xf numFmtId="0" fontId="0" fillId="34" borderId="37" xfId="0" applyFill="1" applyBorder="1" applyAlignment="1" applyProtection="1">
      <alignment horizontal="left" indent="1"/>
      <protection/>
    </xf>
    <xf numFmtId="0" fontId="34" fillId="34" borderId="37" xfId="0" applyFont="1" applyFill="1" applyBorder="1" applyAlignment="1" applyProtection="1">
      <alignment horizontal="left" indent="1"/>
      <protection/>
    </xf>
    <xf numFmtId="0" fontId="18" fillId="34" borderId="37" xfId="0" applyFont="1" applyFill="1" applyBorder="1" applyAlignment="1" applyProtection="1">
      <alignment horizontal="left" indent="1"/>
      <protection/>
    </xf>
    <xf numFmtId="0" fontId="0" fillId="34" borderId="46" xfId="0" applyFill="1" applyBorder="1" applyAlignment="1" applyProtection="1">
      <alignment horizontal="left" indent="1"/>
      <protection/>
    </xf>
    <xf numFmtId="0" fontId="0" fillId="34" borderId="25" xfId="0" applyFill="1" applyBorder="1" applyAlignment="1" applyProtection="1">
      <alignment/>
      <protection/>
    </xf>
    <xf numFmtId="0" fontId="2" fillId="36" borderId="0" xfId="0" applyFont="1" applyFill="1" applyAlignment="1" applyProtection="1">
      <alignment/>
      <protection/>
    </xf>
    <xf numFmtId="0" fontId="2" fillId="35" borderId="0" xfId="0" applyFont="1" applyFill="1" applyAlignment="1" applyProtection="1">
      <alignment/>
      <protection/>
    </xf>
    <xf numFmtId="0" fontId="2" fillId="42" borderId="0" xfId="0" applyFont="1" applyFill="1" applyAlignment="1" applyProtection="1">
      <alignment/>
      <protection/>
    </xf>
    <xf numFmtId="0" fontId="2" fillId="41" borderId="0" xfId="0" applyFont="1" applyFill="1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0" fontId="2" fillId="43" borderId="0" xfId="0" applyFont="1" applyFill="1" applyAlignment="1" applyProtection="1">
      <alignment/>
      <protection/>
    </xf>
    <xf numFmtId="0" fontId="2" fillId="34" borderId="47" xfId="0" applyFont="1" applyFill="1" applyBorder="1" applyAlignment="1" applyProtection="1">
      <alignment/>
      <protection/>
    </xf>
    <xf numFmtId="0" fontId="8" fillId="34" borderId="47" xfId="0" applyFont="1" applyFill="1" applyBorder="1" applyAlignment="1" applyProtection="1">
      <alignment/>
      <protection/>
    </xf>
    <xf numFmtId="2" fontId="0" fillId="0" borderId="31" xfId="0" applyNumberFormat="1" applyBorder="1" applyAlignment="1" applyProtection="1">
      <alignment/>
      <protection/>
    </xf>
    <xf numFmtId="0" fontId="0" fillId="0" borderId="48" xfId="0" applyBorder="1" applyAlignment="1" applyProtection="1">
      <alignment/>
      <protection/>
    </xf>
    <xf numFmtId="2" fontId="0" fillId="0" borderId="37" xfId="0" applyNumberFormat="1" applyFill="1" applyBorder="1" applyAlignment="1" applyProtection="1">
      <alignment/>
      <protection/>
    </xf>
    <xf numFmtId="0" fontId="7" fillId="0" borderId="27" xfId="0" applyFont="1" applyFill="1" applyBorder="1" applyAlignment="1" applyProtection="1">
      <alignment/>
      <protection/>
    </xf>
    <xf numFmtId="0" fontId="0" fillId="34" borderId="37" xfId="0" applyFill="1" applyBorder="1" applyAlignment="1" applyProtection="1">
      <alignment/>
      <protection/>
    </xf>
    <xf numFmtId="0" fontId="0" fillId="0" borderId="41" xfId="0" applyFont="1" applyBorder="1" applyAlignment="1" applyProtection="1">
      <alignment horizontal="center"/>
      <protection/>
    </xf>
    <xf numFmtId="2" fontId="0" fillId="0" borderId="24" xfId="0" applyNumberFormat="1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/>
    </xf>
    <xf numFmtId="0" fontId="43" fillId="0" borderId="0" xfId="0" applyFont="1" applyAlignment="1" applyProtection="1">
      <alignment horizontal="right"/>
      <protection/>
    </xf>
    <xf numFmtId="0" fontId="43" fillId="0" borderId="0" xfId="0" applyFont="1" applyAlignment="1" applyProtection="1">
      <alignment/>
      <protection/>
    </xf>
    <xf numFmtId="44" fontId="13" fillId="0" borderId="33" xfId="50" applyFont="1" applyBorder="1" applyAlignment="1" applyProtection="1">
      <alignment horizontal="left"/>
      <protection/>
    </xf>
    <xf numFmtId="0" fontId="43" fillId="0" borderId="0" xfId="0" applyFont="1" applyFill="1" applyBorder="1" applyAlignment="1" applyProtection="1">
      <alignment horizontal="right"/>
      <protection/>
    </xf>
    <xf numFmtId="0" fontId="43" fillId="0" borderId="0" xfId="0" applyFont="1" applyFill="1" applyBorder="1" applyAlignment="1" applyProtection="1">
      <alignment/>
      <protection/>
    </xf>
    <xf numFmtId="2" fontId="5" fillId="0" borderId="24" xfId="50" applyNumberFormat="1" applyFont="1" applyBorder="1" applyAlignment="1" applyProtection="1">
      <alignment horizontal="left"/>
      <protection locked="0"/>
    </xf>
    <xf numFmtId="10" fontId="5" fillId="0" borderId="27" xfId="0" applyNumberFormat="1" applyFont="1" applyBorder="1" applyAlignment="1" applyProtection="1">
      <alignment/>
      <protection locked="0"/>
    </xf>
    <xf numFmtId="0" fontId="16" fillId="0" borderId="0" xfId="45" applyBorder="1" applyAlignment="1" applyProtection="1">
      <alignment horizontal="left"/>
      <protection hidden="1"/>
    </xf>
    <xf numFmtId="0" fontId="0" fillId="44" borderId="0" xfId="0" applyFill="1" applyAlignment="1" applyProtection="1">
      <alignment/>
      <protection/>
    </xf>
    <xf numFmtId="0" fontId="0" fillId="0" borderId="41" xfId="0" applyBorder="1" applyAlignment="1" applyProtection="1">
      <alignment horizontal="right"/>
      <protection/>
    </xf>
    <xf numFmtId="172" fontId="60" fillId="35" borderId="35" xfId="0" applyNumberFormat="1" applyFont="1" applyFill="1" applyBorder="1" applyAlignment="1" applyProtection="1">
      <alignment/>
      <protection/>
    </xf>
    <xf numFmtId="2" fontId="61" fillId="35" borderId="38" xfId="0" applyNumberFormat="1" applyFont="1" applyFill="1" applyBorder="1" applyAlignment="1" applyProtection="1">
      <alignment horizontal="right"/>
      <protection/>
    </xf>
    <xf numFmtId="2" fontId="62" fillId="35" borderId="33" xfId="0" applyNumberFormat="1" applyFont="1" applyFill="1" applyBorder="1" applyAlignment="1" applyProtection="1">
      <alignment horizontal="left"/>
      <protection/>
    </xf>
    <xf numFmtId="172" fontId="63" fillId="35" borderId="35" xfId="0" applyNumberFormat="1" applyFont="1" applyFill="1" applyBorder="1" applyAlignment="1" applyProtection="1">
      <alignment/>
      <protection/>
    </xf>
    <xf numFmtId="0" fontId="64" fillId="0" borderId="0" xfId="0" applyFont="1" applyAlignment="1" applyProtection="1">
      <alignment/>
      <protection/>
    </xf>
    <xf numFmtId="0" fontId="64" fillId="0" borderId="0" xfId="0" applyFont="1" applyFill="1" applyBorder="1" applyAlignment="1" applyProtection="1">
      <alignment/>
      <protection/>
    </xf>
    <xf numFmtId="0" fontId="59" fillId="44" borderId="49" xfId="0" applyFont="1" applyFill="1" applyBorder="1" applyAlignment="1" applyProtection="1">
      <alignment/>
      <protection/>
    </xf>
    <xf numFmtId="0" fontId="59" fillId="44" borderId="50" xfId="0" applyFont="1" applyFill="1" applyBorder="1" applyAlignment="1" applyProtection="1">
      <alignment/>
      <protection/>
    </xf>
    <xf numFmtId="0" fontId="7" fillId="0" borderId="36" xfId="0" applyFont="1" applyBorder="1" applyAlignment="1" applyProtection="1">
      <alignment horizontal="left"/>
      <protection/>
    </xf>
    <xf numFmtId="2" fontId="7" fillId="0" borderId="40" xfId="0" applyNumberFormat="1" applyFont="1" applyBorder="1" applyAlignment="1" applyProtection="1">
      <alignment horizontal="center"/>
      <protection locked="0"/>
    </xf>
    <xf numFmtId="2" fontId="7" fillId="0" borderId="40" xfId="0" applyNumberFormat="1" applyFont="1" applyBorder="1" applyAlignment="1" applyProtection="1">
      <alignment horizontal="center"/>
      <protection/>
    </xf>
    <xf numFmtId="2" fontId="65" fillId="45" borderId="0" xfId="0" applyNumberFormat="1" applyFont="1" applyFill="1" applyBorder="1" applyAlignment="1" applyProtection="1">
      <alignment horizontal="left"/>
      <protection/>
    </xf>
    <xf numFmtId="2" fontId="66" fillId="45" borderId="0" xfId="0" applyNumberFormat="1" applyFont="1" applyFill="1" applyAlignment="1" applyProtection="1">
      <alignment/>
      <protection/>
    </xf>
    <xf numFmtId="10" fontId="66" fillId="45" borderId="0" xfId="54" applyNumberFormat="1" applyFont="1" applyFill="1" applyAlignment="1" applyProtection="1">
      <alignment/>
      <protection/>
    </xf>
    <xf numFmtId="0" fontId="7" fillId="0" borderId="27" xfId="0" applyFont="1" applyBorder="1" applyAlignment="1" applyProtection="1">
      <alignment/>
      <protection/>
    </xf>
    <xf numFmtId="9" fontId="7" fillId="0" borderId="27" xfId="54" applyFont="1" applyBorder="1" applyAlignment="1" applyProtection="1">
      <alignment/>
      <protection/>
    </xf>
    <xf numFmtId="2" fontId="7" fillId="0" borderId="24" xfId="50" applyNumberFormat="1" applyFont="1" applyBorder="1" applyAlignment="1" applyProtection="1">
      <alignment horizontal="left"/>
      <protection/>
    </xf>
    <xf numFmtId="10" fontId="7" fillId="0" borderId="27" xfId="0" applyNumberFormat="1" applyFont="1" applyBorder="1" applyAlignment="1" applyProtection="1">
      <alignment/>
      <protection/>
    </xf>
    <xf numFmtId="0" fontId="0" fillId="0" borderId="33" xfId="0" applyFont="1" applyBorder="1" applyAlignment="1" applyProtection="1">
      <alignment horizontal="left"/>
      <protection/>
    </xf>
    <xf numFmtId="0" fontId="1" fillId="39" borderId="0" xfId="0" applyFont="1" applyFill="1" applyBorder="1" applyAlignment="1" applyProtection="1">
      <alignment/>
      <protection/>
    </xf>
    <xf numFmtId="9" fontId="1" fillId="39" borderId="0" xfId="0" applyNumberFormat="1" applyFont="1" applyFill="1" applyBorder="1" applyAlignment="1" applyProtection="1">
      <alignment/>
      <protection/>
    </xf>
    <xf numFmtId="2" fontId="0" fillId="0" borderId="0" xfId="0" applyNumberFormat="1" applyAlignment="1" applyProtection="1">
      <alignment horizontal="left"/>
      <protection/>
    </xf>
    <xf numFmtId="0" fontId="68" fillId="0" borderId="0" xfId="0" applyFont="1" applyAlignment="1">
      <alignment/>
    </xf>
    <xf numFmtId="2" fontId="69" fillId="45" borderId="0" xfId="0" applyNumberFormat="1" applyFont="1" applyFill="1" applyBorder="1" applyAlignment="1" applyProtection="1">
      <alignment horizontal="left"/>
      <protection/>
    </xf>
    <xf numFmtId="2" fontId="67" fillId="40" borderId="0" xfId="0" applyNumberFormat="1" applyFont="1" applyFill="1" applyBorder="1" applyAlignment="1" applyProtection="1">
      <alignment horizontal="left"/>
      <protection/>
    </xf>
    <xf numFmtId="10" fontId="66" fillId="40" borderId="0" xfId="54" applyNumberFormat="1" applyFont="1" applyFill="1" applyAlignment="1" applyProtection="1">
      <alignment/>
      <protection/>
    </xf>
    <xf numFmtId="0" fontId="0" fillId="34" borderId="0" xfId="0" applyFill="1" applyBorder="1" applyAlignment="1" applyProtection="1">
      <alignment horizontal="left" indent="1"/>
      <protection/>
    </xf>
    <xf numFmtId="0" fontId="36" fillId="39" borderId="13" xfId="0" applyFont="1" applyFill="1" applyBorder="1" applyAlignment="1" applyProtection="1">
      <alignment horizontal="left"/>
      <protection/>
    </xf>
    <xf numFmtId="0" fontId="18" fillId="39" borderId="48" xfId="0" applyFont="1" applyFill="1" applyBorder="1" applyAlignment="1" applyProtection="1">
      <alignment horizontal="left"/>
      <protection/>
    </xf>
    <xf numFmtId="0" fontId="0" fillId="39" borderId="16" xfId="0" applyFill="1" applyBorder="1" applyAlignment="1" applyProtection="1">
      <alignment/>
      <protection/>
    </xf>
    <xf numFmtId="0" fontId="36" fillId="39" borderId="15" xfId="0" applyFont="1" applyFill="1" applyBorder="1" applyAlignment="1" applyProtection="1">
      <alignment/>
      <protection/>
    </xf>
    <xf numFmtId="0" fontId="0" fillId="39" borderId="18" xfId="0" applyFill="1" applyBorder="1" applyAlignment="1" applyProtection="1">
      <alignment horizontal="left" indent="1"/>
      <protection/>
    </xf>
    <xf numFmtId="0" fontId="6" fillId="0" borderId="0" xfId="0" applyFont="1" applyAlignment="1" applyProtection="1">
      <alignment/>
      <protection/>
    </xf>
    <xf numFmtId="0" fontId="7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 hidden="1"/>
    </xf>
    <xf numFmtId="0" fontId="71" fillId="35" borderId="13" xfId="0" applyFont="1" applyFill="1" applyBorder="1" applyAlignment="1" applyProtection="1">
      <alignment/>
      <protection/>
    </xf>
    <xf numFmtId="0" fontId="0" fillId="35" borderId="48" xfId="0" applyFill="1" applyBorder="1" applyAlignment="1" applyProtection="1">
      <alignment/>
      <protection/>
    </xf>
    <xf numFmtId="9" fontId="7" fillId="35" borderId="16" xfId="54" applyFont="1" applyFill="1" applyBorder="1" applyAlignment="1" applyProtection="1">
      <alignment horizontal="center"/>
      <protection/>
    </xf>
    <xf numFmtId="0" fontId="7" fillId="35" borderId="14" xfId="0" applyFont="1" applyFill="1" applyBorder="1" applyAlignment="1" applyProtection="1">
      <alignment/>
      <protection/>
    </xf>
    <xf numFmtId="0" fontId="0" fillId="35" borderId="0" xfId="0" applyFill="1" applyBorder="1" applyAlignment="1" applyProtection="1">
      <alignment/>
      <protection/>
    </xf>
    <xf numFmtId="0" fontId="5" fillId="35" borderId="51" xfId="0" applyFont="1" applyFill="1" applyBorder="1" applyAlignment="1" applyProtection="1">
      <alignment horizontal="center"/>
      <protection locked="0"/>
    </xf>
    <xf numFmtId="0" fontId="7" fillId="35" borderId="15" xfId="0" applyFont="1" applyFill="1" applyBorder="1" applyAlignment="1" applyProtection="1">
      <alignment/>
      <protection/>
    </xf>
    <xf numFmtId="0" fontId="0" fillId="35" borderId="37" xfId="0" applyFill="1" applyBorder="1" applyAlignment="1" applyProtection="1">
      <alignment/>
      <protection/>
    </xf>
    <xf numFmtId="0" fontId="5" fillId="35" borderId="52" xfId="0" applyFont="1" applyFill="1" applyBorder="1" applyAlignment="1" applyProtection="1">
      <alignment horizontal="center"/>
      <protection locked="0"/>
    </xf>
    <xf numFmtId="0" fontId="72" fillId="0" borderId="0" xfId="0" applyFont="1" applyAlignment="1" applyProtection="1">
      <alignment/>
      <protection/>
    </xf>
    <xf numFmtId="0" fontId="38" fillId="0" borderId="0" xfId="0" applyFont="1" applyFill="1" applyAlignment="1" applyProtection="1">
      <alignment/>
      <protection/>
    </xf>
    <xf numFmtId="0" fontId="21" fillId="0" borderId="0" xfId="0" applyFont="1" applyFill="1" applyAlignment="1" applyProtection="1">
      <alignment/>
      <protection/>
    </xf>
    <xf numFmtId="0" fontId="28" fillId="0" borderId="0" xfId="0" applyFont="1" applyFill="1" applyAlignment="1" applyProtection="1">
      <alignment horizontal="left"/>
      <protection/>
    </xf>
    <xf numFmtId="0" fontId="21" fillId="0" borderId="0" xfId="0" applyFont="1" applyFill="1" applyAlignment="1" applyProtection="1">
      <alignment horizontal="left"/>
      <protection/>
    </xf>
    <xf numFmtId="0" fontId="21" fillId="0" borderId="0" xfId="0" applyFont="1" applyAlignment="1" applyProtection="1">
      <alignment horizontal="left"/>
      <protection/>
    </xf>
    <xf numFmtId="0" fontId="13" fillId="0" borderId="0" xfId="0" applyFont="1" applyFill="1" applyAlignment="1" applyProtection="1">
      <alignment/>
      <protection/>
    </xf>
    <xf numFmtId="0" fontId="46" fillId="0" borderId="44" xfId="0" applyFont="1" applyBorder="1" applyAlignment="1" applyProtection="1">
      <alignment horizontal="left"/>
      <protection locked="0"/>
    </xf>
    <xf numFmtId="0" fontId="50" fillId="0" borderId="23" xfId="0" applyFont="1" applyBorder="1" applyAlignment="1">
      <alignment horizontal="center"/>
    </xf>
    <xf numFmtId="0" fontId="50" fillId="0" borderId="53" xfId="0" applyFont="1" applyBorder="1" applyAlignment="1">
      <alignment horizontal="center"/>
    </xf>
    <xf numFmtId="0" fontId="7" fillId="38" borderId="27" xfId="0" applyFont="1" applyFill="1" applyBorder="1" applyAlignment="1" applyProtection="1">
      <alignment/>
      <protection/>
    </xf>
    <xf numFmtId="0" fontId="7" fillId="35" borderId="27" xfId="0" applyFont="1" applyFill="1" applyBorder="1" applyAlignment="1" applyProtection="1">
      <alignment/>
      <protection/>
    </xf>
    <xf numFmtId="0" fontId="56" fillId="44" borderId="27" xfId="0" applyFont="1" applyFill="1" applyBorder="1" applyAlignment="1" applyProtection="1">
      <alignment/>
      <protection/>
    </xf>
    <xf numFmtId="0" fontId="0" fillId="44" borderId="27" xfId="0" applyFill="1" applyBorder="1" applyAlignment="1" applyProtection="1">
      <alignment/>
      <protection/>
    </xf>
    <xf numFmtId="9" fontId="8" fillId="33" borderId="54" xfId="54" applyFont="1" applyFill="1" applyBorder="1" applyAlignment="1" applyProtection="1">
      <alignment/>
      <protection/>
    </xf>
    <xf numFmtId="9" fontId="8" fillId="33" borderId="55" xfId="54" applyFont="1" applyFill="1" applyBorder="1" applyAlignment="1" applyProtection="1">
      <alignment/>
      <protection/>
    </xf>
    <xf numFmtId="9" fontId="8" fillId="36" borderId="55" xfId="54" applyFont="1" applyFill="1" applyBorder="1" applyAlignment="1" applyProtection="1">
      <alignment/>
      <protection/>
    </xf>
    <xf numFmtId="9" fontId="8" fillId="36" borderId="56" xfId="54" applyFont="1" applyFill="1" applyBorder="1" applyAlignment="1" applyProtection="1">
      <alignment/>
      <protection/>
    </xf>
    <xf numFmtId="0" fontId="7" fillId="0" borderId="57" xfId="0" applyFont="1" applyBorder="1" applyAlignment="1" applyProtection="1">
      <alignment horizontal="center"/>
      <protection/>
    </xf>
    <xf numFmtId="0" fontId="5" fillId="0" borderId="58" xfId="0" applyFont="1" applyFill="1" applyBorder="1" applyAlignment="1" applyProtection="1">
      <alignment horizontal="center"/>
      <protection/>
    </xf>
    <xf numFmtId="0" fontId="5" fillId="0" borderId="59" xfId="0" applyFont="1" applyFill="1" applyBorder="1" applyAlignment="1" applyProtection="1">
      <alignment horizontal="center"/>
      <protection/>
    </xf>
    <xf numFmtId="0" fontId="1" fillId="0" borderId="24" xfId="0" applyNumberFormat="1" applyFont="1" applyBorder="1" applyAlignment="1" applyProtection="1">
      <alignment/>
      <protection hidden="1"/>
    </xf>
    <xf numFmtId="0" fontId="1" fillId="0" borderId="0" xfId="0" applyNumberFormat="1" applyFont="1" applyAlignment="1" applyProtection="1">
      <alignment/>
      <protection hidden="1"/>
    </xf>
    <xf numFmtId="0" fontId="0" fillId="0" borderId="35" xfId="0" applyNumberFormat="1" applyBorder="1" applyAlignment="1" applyProtection="1">
      <alignment/>
      <protection hidden="1"/>
    </xf>
    <xf numFmtId="0" fontId="0" fillId="0" borderId="0" xfId="0" applyNumberFormat="1" applyAlignment="1">
      <alignment/>
    </xf>
    <xf numFmtId="0" fontId="0" fillId="0" borderId="26" xfId="0" applyFont="1" applyBorder="1" applyAlignment="1" applyProtection="1">
      <alignment horizontal="center"/>
      <protection/>
    </xf>
    <xf numFmtId="0" fontId="1" fillId="0" borderId="27" xfId="0" applyFont="1" applyFill="1" applyBorder="1" applyAlignment="1" applyProtection="1">
      <alignment/>
      <protection/>
    </xf>
    <xf numFmtId="9" fontId="22" fillId="0" borderId="27" xfId="0" applyNumberFormat="1" applyFont="1" applyBorder="1" applyAlignment="1" applyProtection="1">
      <alignment/>
      <protection/>
    </xf>
    <xf numFmtId="172" fontId="7" fillId="0" borderId="27" xfId="0" applyNumberFormat="1" applyFont="1" applyFill="1" applyBorder="1" applyAlignment="1" applyProtection="1">
      <alignment/>
      <protection/>
    </xf>
    <xf numFmtId="0" fontId="7" fillId="0" borderId="33" xfId="0" applyFont="1" applyFill="1" applyBorder="1" applyAlignment="1" applyProtection="1">
      <alignment horizontal="right"/>
      <protection/>
    </xf>
    <xf numFmtId="0" fontId="7" fillId="0" borderId="44" xfId="0" applyFont="1" applyBorder="1" applyAlignment="1" applyProtection="1">
      <alignment horizontal="left"/>
      <protection/>
    </xf>
    <xf numFmtId="196" fontId="7" fillId="0" borderId="27" xfId="0" applyNumberFormat="1" applyFont="1" applyBorder="1" applyAlignment="1" applyProtection="1">
      <alignment/>
      <protection/>
    </xf>
    <xf numFmtId="2" fontId="65" fillId="40" borderId="0" xfId="0" applyNumberFormat="1" applyFont="1" applyFill="1" applyBorder="1" applyAlignment="1" applyProtection="1">
      <alignment horizontal="right"/>
      <protection/>
    </xf>
    <xf numFmtId="2" fontId="69" fillId="40" borderId="0" xfId="0" applyNumberFormat="1" applyFont="1" applyFill="1" applyBorder="1" applyAlignment="1" applyProtection="1">
      <alignment horizontal="left"/>
      <protection/>
    </xf>
    <xf numFmtId="17" fontId="6" fillId="0" borderId="0" xfId="0" applyNumberFormat="1" applyFont="1" applyBorder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196" fontId="0" fillId="0" borderId="27" xfId="0" applyNumberFormat="1" applyFont="1" applyBorder="1" applyAlignment="1" applyProtection="1">
      <alignment/>
      <protection/>
    </xf>
    <xf numFmtId="2" fontId="69" fillId="0" borderId="0" xfId="0" applyNumberFormat="1" applyFont="1" applyFill="1" applyBorder="1" applyAlignment="1" applyProtection="1">
      <alignment horizontal="left"/>
      <protection/>
    </xf>
    <xf numFmtId="2" fontId="66" fillId="0" borderId="0" xfId="0" applyNumberFormat="1" applyFont="1" applyFill="1" applyAlignment="1" applyProtection="1">
      <alignment/>
      <protection/>
    </xf>
    <xf numFmtId="2" fontId="67" fillId="0" borderId="0" xfId="0" applyNumberFormat="1" applyFont="1" applyFill="1" applyBorder="1" applyAlignment="1" applyProtection="1">
      <alignment horizontal="left"/>
      <protection/>
    </xf>
    <xf numFmtId="2" fontId="65" fillId="0" borderId="0" xfId="0" applyNumberFormat="1" applyFont="1" applyFill="1" applyBorder="1" applyAlignment="1" applyProtection="1">
      <alignment horizontal="left"/>
      <protection/>
    </xf>
    <xf numFmtId="10" fontId="66" fillId="0" borderId="0" xfId="54" applyNumberFormat="1" applyFont="1" applyFill="1" applyAlignment="1" applyProtection="1">
      <alignment/>
      <protection/>
    </xf>
    <xf numFmtId="2" fontId="0" fillId="0" borderId="43" xfId="0" applyNumberFormat="1" applyBorder="1" applyAlignment="1" applyProtection="1">
      <alignment horizontal="left"/>
      <protection/>
    </xf>
    <xf numFmtId="2" fontId="0" fillId="0" borderId="43" xfId="0" applyNumberFormat="1" applyBorder="1" applyAlignment="1" applyProtection="1">
      <alignment/>
      <protection/>
    </xf>
    <xf numFmtId="2" fontId="0" fillId="0" borderId="25" xfId="0" applyNumberFormat="1" applyBorder="1" applyAlignment="1" applyProtection="1">
      <alignment/>
      <protection/>
    </xf>
    <xf numFmtId="2" fontId="0" fillId="0" borderId="0" xfId="0" applyNumberFormat="1" applyAlignment="1" applyProtection="1">
      <alignment horizontal="right"/>
      <protection/>
    </xf>
    <xf numFmtId="9" fontId="5" fillId="0" borderId="27" xfId="54" applyFont="1" applyBorder="1" applyAlignment="1" applyProtection="1">
      <alignment/>
      <protection locked="0"/>
    </xf>
    <xf numFmtId="0" fontId="74" fillId="0" borderId="0" xfId="0" applyFont="1" applyAlignment="1" applyProtection="1">
      <alignment/>
      <protection/>
    </xf>
    <xf numFmtId="0" fontId="3" fillId="0" borderId="53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9" fontId="3" fillId="0" borderId="15" xfId="0" applyNumberFormat="1" applyFont="1" applyBorder="1" applyAlignment="1">
      <alignment horizontal="center" vertical="top" wrapText="1"/>
    </xf>
    <xf numFmtId="0" fontId="75" fillId="0" borderId="15" xfId="0" applyFont="1" applyBorder="1" applyAlignment="1">
      <alignment horizontal="center" vertical="top" wrapText="1"/>
    </xf>
    <xf numFmtId="0" fontId="0" fillId="0" borderId="15" xfId="0" applyBorder="1" applyAlignment="1">
      <alignment vertical="top" wrapText="1"/>
    </xf>
    <xf numFmtId="1" fontId="1" fillId="0" borderId="0" xfId="0" applyNumberFormat="1" applyFont="1" applyFill="1" applyBorder="1" applyAlignment="1" applyProtection="1">
      <alignment/>
      <protection/>
    </xf>
    <xf numFmtId="0" fontId="76" fillId="0" borderId="43" xfId="0" applyFont="1" applyFill="1" applyBorder="1" applyAlignment="1" applyProtection="1">
      <alignment/>
      <protection/>
    </xf>
    <xf numFmtId="0" fontId="76" fillId="0" borderId="25" xfId="0" applyFont="1" applyFill="1" applyBorder="1" applyAlignment="1" applyProtection="1">
      <alignment/>
      <protection/>
    </xf>
    <xf numFmtId="2" fontId="64" fillId="0" borderId="43" xfId="0" applyNumberFormat="1" applyFont="1" applyBorder="1" applyAlignment="1" applyProtection="1">
      <alignment horizontal="left"/>
      <protection/>
    </xf>
    <xf numFmtId="2" fontId="64" fillId="0" borderId="25" xfId="0" applyNumberFormat="1" applyFont="1" applyBorder="1" applyAlignment="1" applyProtection="1">
      <alignment horizontal="left"/>
      <protection/>
    </xf>
    <xf numFmtId="2" fontId="64" fillId="0" borderId="43" xfId="0" applyNumberFormat="1" applyFont="1" applyBorder="1" applyAlignment="1" applyProtection="1">
      <alignment/>
      <protection/>
    </xf>
    <xf numFmtId="2" fontId="64" fillId="0" borderId="25" xfId="0" applyNumberFormat="1" applyFont="1" applyBorder="1" applyAlignment="1" applyProtection="1">
      <alignment/>
      <protection/>
    </xf>
    <xf numFmtId="2" fontId="64" fillId="0" borderId="0" xfId="0" applyNumberFormat="1" applyFont="1" applyAlignment="1" applyProtection="1">
      <alignment horizontal="left"/>
      <protection/>
    </xf>
    <xf numFmtId="2" fontId="64" fillId="0" borderId="0" xfId="0" applyNumberFormat="1" applyFont="1" applyAlignment="1" applyProtection="1">
      <alignment horizontal="right"/>
      <protection/>
    </xf>
    <xf numFmtId="2" fontId="64" fillId="0" borderId="0" xfId="0" applyNumberFormat="1" applyFont="1" applyAlignment="1" applyProtection="1">
      <alignment/>
      <protection/>
    </xf>
    <xf numFmtId="2" fontId="64" fillId="0" borderId="0" xfId="0" applyNumberFormat="1" applyFont="1" applyAlignment="1" applyProtection="1">
      <alignment horizontal="left"/>
      <protection/>
    </xf>
    <xf numFmtId="2" fontId="64" fillId="0" borderId="25" xfId="0" applyNumberFormat="1" applyFont="1" applyBorder="1" applyAlignment="1" applyProtection="1">
      <alignment horizontal="left"/>
      <protection/>
    </xf>
    <xf numFmtId="2" fontId="64" fillId="0" borderId="0" xfId="0" applyNumberFormat="1" applyFont="1" applyAlignment="1" applyProtection="1">
      <alignment horizontal="right"/>
      <protection/>
    </xf>
    <xf numFmtId="2" fontId="64" fillId="0" borderId="25" xfId="0" applyNumberFormat="1" applyFont="1" applyBorder="1" applyAlignment="1" applyProtection="1">
      <alignment/>
      <protection/>
    </xf>
    <xf numFmtId="2" fontId="64" fillId="0" borderId="43" xfId="0" applyNumberFormat="1" applyFont="1" applyBorder="1" applyAlignment="1" applyProtection="1">
      <alignment horizontal="left"/>
      <protection/>
    </xf>
    <xf numFmtId="2" fontId="64" fillId="0" borderId="43" xfId="0" applyNumberFormat="1" applyFont="1" applyBorder="1" applyAlignment="1" applyProtection="1">
      <alignment/>
      <protection/>
    </xf>
    <xf numFmtId="0" fontId="13" fillId="36" borderId="0" xfId="0" applyFont="1" applyFill="1" applyAlignment="1" applyProtection="1">
      <alignment/>
      <protection/>
    </xf>
    <xf numFmtId="0" fontId="57" fillId="36" borderId="0" xfId="45" applyFont="1" applyFill="1" applyAlignment="1" applyProtection="1">
      <alignment/>
      <protection/>
    </xf>
    <xf numFmtId="0" fontId="0" fillId="46" borderId="0" xfId="0" applyFill="1" applyAlignment="1" applyProtection="1">
      <alignment/>
      <protection/>
    </xf>
    <xf numFmtId="0" fontId="3" fillId="46" borderId="0" xfId="0" applyFont="1" applyFill="1" applyBorder="1" applyAlignment="1" applyProtection="1">
      <alignment horizontal="right"/>
      <protection/>
    </xf>
    <xf numFmtId="0" fontId="40" fillId="46" borderId="0" xfId="0" applyFont="1" applyFill="1" applyBorder="1" applyAlignment="1" applyProtection="1">
      <alignment/>
      <protection/>
    </xf>
    <xf numFmtId="0" fontId="0" fillId="46" borderId="0" xfId="0" applyFill="1" applyBorder="1" applyAlignment="1" applyProtection="1">
      <alignment/>
      <protection/>
    </xf>
    <xf numFmtId="0" fontId="1" fillId="46" borderId="0" xfId="0" applyFont="1" applyFill="1" applyBorder="1" applyAlignment="1" applyProtection="1">
      <alignment/>
      <protection/>
    </xf>
    <xf numFmtId="0" fontId="0" fillId="36" borderId="0" xfId="0" applyFill="1" applyAlignment="1" applyProtection="1">
      <alignment/>
      <protection/>
    </xf>
    <xf numFmtId="0" fontId="32" fillId="46" borderId="0" xfId="0" applyFont="1" applyFill="1" applyBorder="1" applyAlignment="1" applyProtection="1">
      <alignment/>
      <protection/>
    </xf>
    <xf numFmtId="2" fontId="3" fillId="46" borderId="0" xfId="0" applyNumberFormat="1" applyFont="1" applyFill="1" applyBorder="1" applyAlignment="1" applyProtection="1">
      <alignment horizontal="right"/>
      <protection/>
    </xf>
    <xf numFmtId="1" fontId="0" fillId="46" borderId="0" xfId="0" applyNumberFormat="1" applyFill="1" applyAlignment="1" applyProtection="1">
      <alignment/>
      <protection/>
    </xf>
    <xf numFmtId="44" fontId="0" fillId="46" borderId="0" xfId="0" applyNumberFormat="1" applyFill="1" applyBorder="1" applyAlignment="1" applyProtection="1">
      <alignment/>
      <protection/>
    </xf>
    <xf numFmtId="0" fontId="0" fillId="36" borderId="0" xfId="0" applyFont="1" applyFill="1" applyAlignment="1" applyProtection="1">
      <alignment/>
      <protection/>
    </xf>
    <xf numFmtId="0" fontId="58" fillId="36" borderId="0" xfId="45" applyFont="1" applyFill="1" applyAlignment="1" applyProtection="1">
      <alignment/>
      <protection/>
    </xf>
    <xf numFmtId="0" fontId="14" fillId="36" borderId="0" xfId="0" applyFont="1" applyFill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276225</xdr:colOff>
      <xdr:row>67</xdr:row>
      <xdr:rowOff>104775</xdr:rowOff>
    </xdr:from>
    <xdr:to>
      <xdr:col>7</xdr:col>
      <xdr:colOff>790575</xdr:colOff>
      <xdr:row>67</xdr:row>
      <xdr:rowOff>104775</xdr:rowOff>
    </xdr:to>
    <xdr:sp>
      <xdr:nvSpPr>
        <xdr:cNvPr id="1" name="Line 4313"/>
        <xdr:cNvSpPr>
          <a:spLocks/>
        </xdr:cNvSpPr>
      </xdr:nvSpPr>
      <xdr:spPr>
        <a:xfrm flipV="1">
          <a:off x="7905750" y="11525250"/>
          <a:ext cx="514350" cy="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file://C:\Documents%20and%20Settings\vicky.SANVIKMAN\Mis%20documentos\Downloads\" TargetMode="External" /><Relationship Id="rId2" Type="http://schemas.openxmlformats.org/officeDocument/2006/relationships/hyperlink" Target="file://C:\Documents%20and%20Settings\vicky.SANVIKMAN\Mis%20documentos\Downloads\" TargetMode="External" /><Relationship Id="rId3" Type="http://schemas.openxmlformats.org/officeDocument/2006/relationships/hyperlink" Target="http://www.celestecompromiso.com.ar/" TargetMode="External" /><Relationship Id="rId4" Type="http://schemas.openxmlformats.org/officeDocument/2006/relationships/hyperlink" Target="http://www.celestecompromiso.com.ar/" TargetMode="External" /><Relationship Id="rId5" Type="http://schemas.openxmlformats.org/officeDocument/2006/relationships/hyperlink" Target="mailto:victorhutt@victorhutt.com.ar" TargetMode="External" /><Relationship Id="rId6" Type="http://schemas.openxmlformats.org/officeDocument/2006/relationships/hyperlink" Target="mailto:victorhutt@victorhutt.com.ar" TargetMode="External" /><Relationship Id="rId7" Type="http://schemas.openxmlformats.org/officeDocument/2006/relationships/comments" Target="../comments1.xml" /><Relationship Id="rId8" Type="http://schemas.openxmlformats.org/officeDocument/2006/relationships/vmlDrawing" Target="../drawings/vmlDrawing1.vml" /><Relationship Id="rId9" Type="http://schemas.openxmlformats.org/officeDocument/2006/relationships/drawing" Target="../drawings/drawing1.xml" /><Relationship Id="rId1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AO373"/>
  <sheetViews>
    <sheetView showGridLines="0" tabSelected="1" zoomScale="85" zoomScaleNormal="85" zoomScaleSheetLayoutView="75" zoomScalePageLayoutView="0" workbookViewId="0" topLeftCell="C159">
      <selection activeCell="C181" sqref="C181"/>
    </sheetView>
  </sheetViews>
  <sheetFormatPr defaultColWidth="11.421875" defaultRowHeight="12.75"/>
  <cols>
    <col min="1" max="1" width="9.8515625" style="3" customWidth="1"/>
    <col min="2" max="2" width="14.421875" style="3" customWidth="1"/>
    <col min="3" max="3" width="11.57421875" style="3" bestFit="1" customWidth="1"/>
    <col min="4" max="4" width="28.421875" style="3" customWidth="1"/>
    <col min="5" max="5" width="15.7109375" style="3" customWidth="1"/>
    <col min="6" max="6" width="16.28125" style="3" customWidth="1"/>
    <col min="7" max="7" width="18.140625" style="3" customWidth="1"/>
    <col min="8" max="8" width="13.8515625" style="3" customWidth="1"/>
    <col min="9" max="9" width="13.7109375" style="3" customWidth="1"/>
    <col min="10" max="10" width="27.7109375" style="3" customWidth="1"/>
    <col min="11" max="11" width="14.8515625" style="3" customWidth="1"/>
    <col min="12" max="12" width="15.57421875" style="3" customWidth="1"/>
    <col min="13" max="13" width="15.140625" style="3" customWidth="1"/>
    <col min="14" max="14" width="10.57421875" style="3" customWidth="1"/>
    <col min="15" max="15" width="11.421875" style="3" customWidth="1"/>
    <col min="16" max="16" width="28.28125" style="3" customWidth="1"/>
    <col min="17" max="17" width="13.00390625" style="3" customWidth="1"/>
    <col min="18" max="18" width="25.00390625" style="3" customWidth="1"/>
    <col min="19" max="19" width="20.7109375" style="3" customWidth="1"/>
    <col min="20" max="20" width="13.00390625" style="3" customWidth="1"/>
    <col min="21" max="21" width="14.00390625" style="3" customWidth="1"/>
    <col min="22" max="22" width="25.57421875" style="3" customWidth="1"/>
    <col min="23" max="23" width="18.28125" style="3" customWidth="1"/>
    <col min="24" max="24" width="27.57421875" style="3" customWidth="1"/>
    <col min="25" max="25" width="12.8515625" style="3" customWidth="1"/>
    <col min="26" max="26" width="15.57421875" style="3" customWidth="1"/>
    <col min="27" max="29" width="11.421875" style="3" customWidth="1"/>
    <col min="30" max="30" width="15.28125" style="3" customWidth="1"/>
    <col min="31" max="31" width="14.00390625" style="3" bestFit="1" customWidth="1"/>
    <col min="32" max="32" width="11.421875" style="3" customWidth="1"/>
    <col min="33" max="33" width="17.57421875" style="3" customWidth="1"/>
    <col min="34" max="36" width="11.421875" style="3" customWidth="1"/>
    <col min="37" max="37" width="14.57421875" style="3" customWidth="1"/>
    <col min="38" max="38" width="12.421875" style="3" bestFit="1" customWidth="1"/>
    <col min="39" max="39" width="11.421875" style="3" customWidth="1"/>
    <col min="40" max="40" width="14.00390625" style="3" bestFit="1" customWidth="1"/>
    <col min="41" max="16384" width="11.421875" style="3" customWidth="1"/>
  </cols>
  <sheetData>
    <row r="1" spans="1:11" ht="27.75" customHeight="1" thickBot="1">
      <c r="A1" s="33"/>
      <c r="B1" s="341" t="s">
        <v>543</v>
      </c>
      <c r="C1" s="342"/>
      <c r="D1" s="342"/>
      <c r="E1" s="342"/>
      <c r="F1" s="342"/>
      <c r="G1" s="343"/>
      <c r="H1" s="300"/>
      <c r="I1" s="279"/>
      <c r="J1" s="279"/>
      <c r="K1" s="287"/>
    </row>
    <row r="2" spans="1:11" ht="18.75" thickBot="1">
      <c r="A2" s="340"/>
      <c r="B2" s="344" t="s">
        <v>573</v>
      </c>
      <c r="C2" s="281"/>
      <c r="D2" s="281"/>
      <c r="E2" s="281"/>
      <c r="F2" s="281"/>
      <c r="G2" s="345"/>
      <c r="H2" s="282"/>
      <c r="I2" s="282"/>
      <c r="J2" s="282"/>
      <c r="K2" s="280"/>
    </row>
    <row r="3" spans="1:11" ht="18.75" thickBot="1">
      <c r="A3" s="283"/>
      <c r="B3" s="284"/>
      <c r="C3" s="285"/>
      <c r="D3" s="285"/>
      <c r="E3" s="285"/>
      <c r="F3" s="285"/>
      <c r="G3" s="283"/>
      <c r="H3" s="283"/>
      <c r="I3" s="283"/>
      <c r="J3" s="283"/>
      <c r="K3" s="286"/>
    </row>
    <row r="4" ht="16.5" thickBot="1">
      <c r="B4" s="12"/>
    </row>
    <row r="5" spans="2:7" ht="18.75" thickBot="1">
      <c r="B5" s="134" t="s">
        <v>62</v>
      </c>
      <c r="C5" s="48" t="s">
        <v>34</v>
      </c>
      <c r="D5" s="49"/>
      <c r="E5" s="134" t="s">
        <v>62</v>
      </c>
      <c r="F5" s="29"/>
      <c r="G5" s="29"/>
    </row>
    <row r="6" spans="3:4" ht="18">
      <c r="C6" s="135" t="s">
        <v>433</v>
      </c>
      <c r="D6" s="136"/>
    </row>
    <row r="7" spans="2:4" ht="18">
      <c r="B7" s="137"/>
      <c r="C7" s="135" t="s">
        <v>35</v>
      </c>
      <c r="D7" s="136"/>
    </row>
    <row r="8" spans="2:4" ht="18">
      <c r="B8" s="137"/>
      <c r="C8" s="135" t="s">
        <v>36</v>
      </c>
      <c r="D8" s="136"/>
    </row>
    <row r="9" spans="2:7" ht="24" customHeight="1" thickBot="1">
      <c r="B9" s="134" t="s">
        <v>62</v>
      </c>
      <c r="C9" s="50" t="s">
        <v>432</v>
      </c>
      <c r="D9" s="138"/>
      <c r="E9" s="134" t="s">
        <v>62</v>
      </c>
      <c r="G9" s="336" t="s">
        <v>505</v>
      </c>
    </row>
    <row r="10" ht="12.75"/>
    <row r="11" ht="12.75">
      <c r="A11" s="13"/>
    </row>
    <row r="12" spans="1:2" ht="12.75">
      <c r="A12" s="27"/>
      <c r="B12" s="3" t="s">
        <v>572</v>
      </c>
    </row>
    <row r="13" ht="12.75">
      <c r="A13" s="27"/>
    </row>
    <row r="14" ht="18">
      <c r="A14" s="346" t="s">
        <v>26</v>
      </c>
    </row>
    <row r="15" spans="1:5" ht="13.5" thickBot="1">
      <c r="A15" s="139"/>
      <c r="B15" s="139"/>
      <c r="C15" s="139"/>
      <c r="D15" s="312"/>
      <c r="E15" s="140"/>
    </row>
    <row r="16" spans="1:5" ht="21.75" customHeight="1" thickBot="1" thickTop="1">
      <c r="A16" s="141" t="s">
        <v>34</v>
      </c>
      <c r="B16" s="129"/>
      <c r="C16" s="321" t="s">
        <v>54</v>
      </c>
      <c r="D16" s="320" t="s">
        <v>54</v>
      </c>
      <c r="E16" s="142" t="s">
        <v>54</v>
      </c>
    </row>
    <row r="17" spans="1:5" ht="15.75" customHeight="1">
      <c r="A17" s="143"/>
      <c r="B17" s="144"/>
      <c r="C17" s="144"/>
      <c r="D17" s="312"/>
      <c r="E17" s="140"/>
    </row>
    <row r="18" spans="1:8" ht="15.75">
      <c r="A18" s="145" t="s">
        <v>434</v>
      </c>
      <c r="B18" s="21"/>
      <c r="C18" s="21"/>
      <c r="D18" s="21"/>
      <c r="E18" s="21"/>
      <c r="F18" s="21"/>
      <c r="G18" s="21"/>
      <c r="H18" s="21"/>
    </row>
    <row r="19" spans="1:8" ht="15.75">
      <c r="A19" s="127" t="s">
        <v>437</v>
      </c>
      <c r="B19" s="21"/>
      <c r="C19" s="21"/>
      <c r="D19" s="21"/>
      <c r="E19" s="21"/>
      <c r="F19" s="21"/>
      <c r="G19" s="21"/>
      <c r="H19" s="21"/>
    </row>
    <row r="20" spans="1:8" ht="15">
      <c r="A20" s="127"/>
      <c r="B20" s="21"/>
      <c r="C20" s="21"/>
      <c r="D20" s="21"/>
      <c r="E20" s="21"/>
      <c r="F20" s="21"/>
      <c r="G20" s="21"/>
      <c r="H20" s="21"/>
    </row>
    <row r="21" spans="1:8" ht="15.75">
      <c r="A21" s="127" t="s">
        <v>438</v>
      </c>
      <c r="B21" s="21"/>
      <c r="C21" s="21"/>
      <c r="D21" s="21"/>
      <c r="E21" s="21"/>
      <c r="F21" s="21"/>
      <c r="G21" s="21"/>
      <c r="H21" s="21"/>
    </row>
    <row r="22" spans="1:8" ht="15">
      <c r="A22" s="127"/>
      <c r="B22" s="21"/>
      <c r="C22" s="21"/>
      <c r="D22" s="21"/>
      <c r="E22" s="21"/>
      <c r="F22" s="21"/>
      <c r="G22" s="21"/>
      <c r="H22" s="21"/>
    </row>
    <row r="23" spans="1:8" ht="15">
      <c r="A23" s="127" t="s">
        <v>27</v>
      </c>
      <c r="B23" s="21"/>
      <c r="C23" s="21"/>
      <c r="D23" s="21"/>
      <c r="E23" s="21"/>
      <c r="F23" s="113"/>
      <c r="G23" s="21"/>
      <c r="H23" s="21"/>
    </row>
    <row r="24" spans="1:8" ht="15">
      <c r="A24" s="127" t="s">
        <v>28</v>
      </c>
      <c r="B24" s="21"/>
      <c r="C24" s="21"/>
      <c r="D24" s="21"/>
      <c r="E24" s="21"/>
      <c r="F24" s="21"/>
      <c r="G24" s="21"/>
      <c r="H24" s="21"/>
    </row>
    <row r="25" spans="1:8" ht="15">
      <c r="A25" s="127"/>
      <c r="B25" s="21"/>
      <c r="C25" s="21"/>
      <c r="D25" s="21"/>
      <c r="E25" s="21"/>
      <c r="F25" s="21"/>
      <c r="G25" s="21"/>
      <c r="H25" s="21"/>
    </row>
    <row r="26" spans="1:8" ht="15">
      <c r="A26" s="127" t="s">
        <v>491</v>
      </c>
      <c r="B26" s="21"/>
      <c r="C26" s="21"/>
      <c r="D26" s="21"/>
      <c r="E26" s="21"/>
      <c r="F26" s="21"/>
      <c r="G26" s="21"/>
      <c r="H26" s="21"/>
    </row>
    <row r="27" spans="1:8" ht="15.75">
      <c r="A27" s="127" t="s">
        <v>452</v>
      </c>
      <c r="B27" s="21"/>
      <c r="C27" s="21"/>
      <c r="D27" s="21"/>
      <c r="E27" s="21"/>
      <c r="F27" s="21"/>
      <c r="G27" s="21"/>
      <c r="H27" s="21"/>
    </row>
    <row r="28" spans="1:8" ht="14.25">
      <c r="A28" s="125"/>
      <c r="B28" s="21"/>
      <c r="C28" s="21"/>
      <c r="D28" s="21"/>
      <c r="E28" s="21"/>
      <c r="F28" s="21"/>
      <c r="G28" s="21"/>
      <c r="H28" s="21"/>
    </row>
    <row r="29" spans="1:8" ht="14.25">
      <c r="A29" s="125" t="s">
        <v>435</v>
      </c>
      <c r="B29" s="21"/>
      <c r="C29" s="21"/>
      <c r="D29" s="21"/>
      <c r="E29" s="21"/>
      <c r="F29" s="21"/>
      <c r="G29" s="21"/>
      <c r="H29" s="21"/>
    </row>
    <row r="30" spans="1:8" ht="14.25">
      <c r="A30" s="125" t="s">
        <v>492</v>
      </c>
      <c r="B30" s="21"/>
      <c r="C30" s="21"/>
      <c r="D30" s="21"/>
      <c r="E30" s="21"/>
      <c r="F30" s="21"/>
      <c r="G30" s="21"/>
      <c r="H30" s="21"/>
    </row>
    <row r="31" spans="1:8" ht="14.25">
      <c r="A31" s="125" t="s">
        <v>436</v>
      </c>
      <c r="B31" s="21"/>
      <c r="C31" s="21"/>
      <c r="D31" s="21"/>
      <c r="E31" s="21"/>
      <c r="F31" s="21"/>
      <c r="G31" s="21"/>
      <c r="H31" s="21"/>
    </row>
    <row r="32" spans="1:8" ht="15.75">
      <c r="A32" s="125"/>
      <c r="B32" s="126" t="s">
        <v>442</v>
      </c>
      <c r="C32" s="21"/>
      <c r="D32" s="21"/>
      <c r="E32" s="21"/>
      <c r="F32" s="21"/>
      <c r="G32" s="21"/>
      <c r="H32" s="21"/>
    </row>
    <row r="33" spans="1:8" ht="15.75">
      <c r="A33" s="125"/>
      <c r="B33" s="126"/>
      <c r="C33" s="21"/>
      <c r="D33" s="21"/>
      <c r="E33" s="21"/>
      <c r="F33" s="21"/>
      <c r="G33" s="21"/>
      <c r="H33" s="21"/>
    </row>
    <row r="34" spans="1:8" ht="12.75">
      <c r="A34" s="21" t="s">
        <v>56</v>
      </c>
      <c r="B34" s="21"/>
      <c r="C34" s="21"/>
      <c r="D34" s="21"/>
      <c r="E34" s="21"/>
      <c r="F34" s="21"/>
      <c r="G34" s="21"/>
      <c r="H34" s="21"/>
    </row>
    <row r="35" spans="1:8" ht="12.75">
      <c r="A35" s="21" t="s">
        <v>57</v>
      </c>
      <c r="B35" s="21"/>
      <c r="C35" s="21"/>
      <c r="D35" s="21"/>
      <c r="E35" s="21"/>
      <c r="F35" s="21"/>
      <c r="G35" s="21"/>
      <c r="H35" s="21"/>
    </row>
    <row r="36" spans="1:8" ht="12.75">
      <c r="A36" s="158" t="s">
        <v>453</v>
      </c>
      <c r="B36" s="21"/>
      <c r="C36" s="21"/>
      <c r="D36" s="21"/>
      <c r="E36" s="21"/>
      <c r="F36" s="21"/>
      <c r="G36" s="21"/>
      <c r="H36" s="21"/>
    </row>
    <row r="37" spans="1:8" ht="12.75">
      <c r="A37" s="21"/>
      <c r="B37" s="21"/>
      <c r="C37" s="21"/>
      <c r="D37" s="21"/>
      <c r="E37" s="21"/>
      <c r="F37" s="21"/>
      <c r="G37" s="21"/>
      <c r="H37" s="21"/>
    </row>
    <row r="38" spans="1:8" ht="15">
      <c r="A38" s="359" t="s">
        <v>545</v>
      </c>
      <c r="B38" s="21"/>
      <c r="C38" s="21"/>
      <c r="D38" s="21"/>
      <c r="E38" s="21"/>
      <c r="F38" s="21"/>
      <c r="G38" s="21"/>
      <c r="H38" s="21"/>
    </row>
    <row r="39" spans="1:8" ht="12.75">
      <c r="A39" s="21"/>
      <c r="B39" s="21"/>
      <c r="C39" s="21"/>
      <c r="D39" s="21"/>
      <c r="E39" s="21"/>
      <c r="F39" s="21"/>
      <c r="G39" s="21"/>
      <c r="H39" s="21"/>
    </row>
    <row r="40" spans="1:8" ht="12.75">
      <c r="A40" s="21"/>
      <c r="B40" s="21"/>
      <c r="C40" s="21"/>
      <c r="D40" s="21"/>
      <c r="E40" s="21"/>
      <c r="F40" s="21"/>
      <c r="G40" s="21"/>
      <c r="H40" s="21"/>
    </row>
    <row r="41" spans="1:8" ht="15.75">
      <c r="A41" s="361" t="s">
        <v>517</v>
      </c>
      <c r="B41" s="362"/>
      <c r="C41" s="360"/>
      <c r="D41" s="21"/>
      <c r="E41" s="21"/>
      <c r="F41" s="21"/>
      <c r="G41" s="21"/>
      <c r="H41" s="21"/>
    </row>
    <row r="42" spans="1:8" ht="15.75">
      <c r="A42" s="362" t="s">
        <v>512</v>
      </c>
      <c r="B42" s="362"/>
      <c r="C42" s="360"/>
      <c r="D42" s="21"/>
      <c r="E42" s="21"/>
      <c r="F42" s="21"/>
      <c r="G42" s="21"/>
      <c r="H42" s="21"/>
    </row>
    <row r="43" spans="1:8" ht="15.75">
      <c r="A43" s="362" t="s">
        <v>511</v>
      </c>
      <c r="B43" s="362"/>
      <c r="C43" s="360"/>
      <c r="D43" s="21"/>
      <c r="E43" s="21"/>
      <c r="F43" s="21"/>
      <c r="G43" s="21"/>
      <c r="H43" s="21"/>
    </row>
    <row r="44" spans="1:8" ht="15.75">
      <c r="A44" s="362" t="s">
        <v>513</v>
      </c>
      <c r="B44" s="362"/>
      <c r="C44" s="360"/>
      <c r="D44" s="21"/>
      <c r="E44" s="21"/>
      <c r="F44" s="21"/>
      <c r="G44" s="21"/>
      <c r="H44" s="21"/>
    </row>
    <row r="45" spans="1:8" ht="15.75">
      <c r="A45" s="362" t="s">
        <v>514</v>
      </c>
      <c r="B45" s="362"/>
      <c r="C45" s="360"/>
      <c r="D45" s="21"/>
      <c r="E45" s="21"/>
      <c r="F45" s="21"/>
      <c r="G45" s="21"/>
      <c r="H45" s="21"/>
    </row>
    <row r="46" spans="1:8" ht="15.75">
      <c r="A46" s="362" t="s">
        <v>544</v>
      </c>
      <c r="B46" s="362"/>
      <c r="C46" s="360"/>
      <c r="D46" s="21"/>
      <c r="E46" s="21"/>
      <c r="F46" s="21"/>
      <c r="G46" s="21"/>
      <c r="H46" s="21"/>
    </row>
    <row r="47" spans="1:8" s="277" customFormat="1" ht="15.75">
      <c r="A47" s="363" t="s">
        <v>515</v>
      </c>
      <c r="B47" s="362"/>
      <c r="C47" s="360"/>
      <c r="D47" s="278"/>
      <c r="E47" s="278"/>
      <c r="F47" s="278"/>
      <c r="G47" s="278"/>
      <c r="H47" s="278"/>
    </row>
    <row r="48" spans="1:8" s="277" customFormat="1" ht="15.75">
      <c r="A48" s="363" t="s">
        <v>516</v>
      </c>
      <c r="B48" s="362"/>
      <c r="C48" s="360"/>
      <c r="D48" s="278"/>
      <c r="E48" s="278"/>
      <c r="F48" s="278"/>
      <c r="G48" s="278"/>
      <c r="H48" s="278"/>
    </row>
    <row r="49" spans="2:8" ht="12.75">
      <c r="B49" s="21"/>
      <c r="C49" s="21"/>
      <c r="D49" s="21"/>
      <c r="E49" s="21"/>
      <c r="F49" s="21"/>
      <c r="G49" s="21"/>
      <c r="H49" s="21"/>
    </row>
    <row r="50" spans="1:8" ht="15">
      <c r="A50" s="364" t="s">
        <v>518</v>
      </c>
      <c r="B50" s="21"/>
      <c r="C50" s="21"/>
      <c r="D50" s="21"/>
      <c r="E50" s="21"/>
      <c r="F50" s="21"/>
      <c r="G50" s="21"/>
      <c r="H50" s="21"/>
    </row>
    <row r="51" spans="1:8" ht="12.75">
      <c r="A51" s="21"/>
      <c r="B51" s="21"/>
      <c r="C51" s="21"/>
      <c r="D51" s="21"/>
      <c r="E51" s="21"/>
      <c r="F51" s="21"/>
      <c r="G51" s="21"/>
      <c r="H51" s="21"/>
    </row>
    <row r="52" spans="1:8" ht="15">
      <c r="A52" s="427" t="s">
        <v>29</v>
      </c>
      <c r="B52" s="427"/>
      <c r="C52" s="427"/>
      <c r="D52" s="429"/>
      <c r="E52" s="21"/>
      <c r="F52" s="21"/>
      <c r="G52" s="21"/>
      <c r="H52" s="21"/>
    </row>
    <row r="53" spans="1:8" ht="15">
      <c r="A53" s="427" t="s">
        <v>571</v>
      </c>
      <c r="B53" s="427"/>
      <c r="C53" s="427"/>
      <c r="D53" s="429"/>
      <c r="E53" s="21"/>
      <c r="F53" s="21"/>
      <c r="G53" s="21"/>
      <c r="H53" s="21"/>
    </row>
    <row r="54" spans="1:4" ht="15">
      <c r="A54" s="427" t="s">
        <v>30</v>
      </c>
      <c r="B54" s="427"/>
      <c r="C54" s="427"/>
      <c r="D54" s="429"/>
    </row>
    <row r="55" spans="1:8" ht="15">
      <c r="A55" s="427" t="s">
        <v>427</v>
      </c>
      <c r="B55" s="427"/>
      <c r="C55" s="427"/>
      <c r="D55" s="429"/>
      <c r="E55" s="21"/>
      <c r="F55" s="21"/>
      <c r="G55" s="21"/>
      <c r="H55" s="21"/>
    </row>
    <row r="56" spans="1:8" ht="15">
      <c r="A56" s="428" t="s">
        <v>490</v>
      </c>
      <c r="B56" s="427"/>
      <c r="C56" s="427"/>
      <c r="D56" s="430"/>
      <c r="E56" s="21"/>
      <c r="F56" s="21"/>
      <c r="G56" s="21"/>
      <c r="H56" s="21"/>
    </row>
    <row r="57" spans="1:8" ht="15">
      <c r="A57" s="428" t="s">
        <v>65</v>
      </c>
      <c r="B57" s="427"/>
      <c r="C57" s="427"/>
      <c r="D57" s="430"/>
      <c r="H57" s="21"/>
    </row>
    <row r="58" spans="1:8" ht="19.5" customHeight="1">
      <c r="A58" s="428" t="s">
        <v>484</v>
      </c>
      <c r="B58" s="427"/>
      <c r="C58" s="427"/>
      <c r="D58" s="430"/>
      <c r="H58" s="21"/>
    </row>
    <row r="59" ht="12" customHeight="1" hidden="1">
      <c r="H59" s="146"/>
    </row>
    <row r="60" spans="8:11" ht="17.25" customHeight="1" hidden="1">
      <c r="H60" s="146"/>
      <c r="I60" s="147" t="s">
        <v>33</v>
      </c>
      <c r="J60" s="147"/>
      <c r="K60" s="148" t="s">
        <v>458</v>
      </c>
    </row>
    <row r="61" spans="8:11" ht="12" customHeight="1" hidden="1" thickBot="1">
      <c r="H61" s="146"/>
      <c r="I61" s="147"/>
      <c r="J61" s="147"/>
      <c r="K61" s="148"/>
    </row>
    <row r="62" spans="3:11" ht="12" customHeight="1" hidden="1" thickBot="1">
      <c r="C62" s="96" t="s">
        <v>59</v>
      </c>
      <c r="D62" s="97"/>
      <c r="F62" s="3" t="s">
        <v>449</v>
      </c>
      <c r="G62" s="4"/>
      <c r="I62" s="57" t="s">
        <v>0</v>
      </c>
      <c r="J62" s="58" t="s">
        <v>64</v>
      </c>
      <c r="K62" s="59" t="s">
        <v>460</v>
      </c>
    </row>
    <row r="63" spans="3:13" ht="12" customHeight="1" hidden="1" thickBot="1">
      <c r="C63" s="98" t="s">
        <v>6</v>
      </c>
      <c r="D63" s="99">
        <v>0.2725</v>
      </c>
      <c r="F63" s="5" t="s">
        <v>20</v>
      </c>
      <c r="G63" s="31">
        <v>0.3141</v>
      </c>
      <c r="I63" s="84">
        <v>0</v>
      </c>
      <c r="J63" s="53">
        <v>0</v>
      </c>
      <c r="K63" s="23">
        <f>J63*1.5</f>
        <v>0</v>
      </c>
      <c r="L63" s="3" t="s">
        <v>459</v>
      </c>
      <c r="M63" s="4"/>
    </row>
    <row r="64" spans="3:25" ht="12" customHeight="1" hidden="1" thickBot="1">
      <c r="C64" s="96"/>
      <c r="D64" s="96"/>
      <c r="G64" s="6"/>
      <c r="I64" s="83">
        <v>0.1</v>
      </c>
      <c r="J64" s="54">
        <v>0</v>
      </c>
      <c r="K64" s="23">
        <f aca="true" t="shared" si="0" ref="K64:K74">J64*1.5</f>
        <v>0</v>
      </c>
      <c r="L64" s="296" t="s">
        <v>461</v>
      </c>
      <c r="M64" s="31">
        <v>0.4543</v>
      </c>
      <c r="N64" s="3" t="s">
        <v>493</v>
      </c>
      <c r="O64" s="3">
        <v>0.47</v>
      </c>
      <c r="P64" s="3" t="s">
        <v>497</v>
      </c>
      <c r="Q64" s="3">
        <v>0.47</v>
      </c>
      <c r="R64" s="3" t="s">
        <v>501</v>
      </c>
      <c r="S64" s="3">
        <v>0.495</v>
      </c>
      <c r="T64" s="3" t="s">
        <v>529</v>
      </c>
      <c r="U64" s="3">
        <v>0.59</v>
      </c>
      <c r="V64" s="3" t="s">
        <v>531</v>
      </c>
      <c r="W64" s="3">
        <v>0.63</v>
      </c>
      <c r="X64" s="3" t="s">
        <v>554</v>
      </c>
      <c r="Y64" s="3">
        <v>0.653</v>
      </c>
    </row>
    <row r="65" spans="3:25" ht="12" customHeight="1" hidden="1" thickBot="1">
      <c r="C65" s="96" t="s">
        <v>21</v>
      </c>
      <c r="D65" s="96"/>
      <c r="F65" s="3" t="s">
        <v>58</v>
      </c>
      <c r="G65" s="14"/>
      <c r="I65" s="85">
        <v>0.15</v>
      </c>
      <c r="J65" s="55">
        <v>58</v>
      </c>
      <c r="K65" s="257">
        <f t="shared" si="0"/>
        <v>87</v>
      </c>
      <c r="M65" s="6"/>
      <c r="X65" s="3" t="s">
        <v>556</v>
      </c>
      <c r="Y65" s="3">
        <v>0.675</v>
      </c>
    </row>
    <row r="66" spans="3:25" ht="12" customHeight="1" hidden="1" thickBot="1">
      <c r="C66" s="100" t="s">
        <v>24</v>
      </c>
      <c r="D66" s="101">
        <v>50</v>
      </c>
      <c r="F66" s="7" t="s">
        <v>47</v>
      </c>
      <c r="G66" s="15">
        <v>25</v>
      </c>
      <c r="H66" s="13"/>
      <c r="I66" s="85">
        <v>0.3</v>
      </c>
      <c r="J66" s="55">
        <v>58</v>
      </c>
      <c r="K66" s="257">
        <f t="shared" si="0"/>
        <v>87</v>
      </c>
      <c r="L66" s="3" t="s">
        <v>58</v>
      </c>
      <c r="M66" s="14"/>
      <c r="X66" s="3" t="s">
        <v>557</v>
      </c>
      <c r="Y66" s="3">
        <v>0.7012</v>
      </c>
    </row>
    <row r="67" spans="3:13" ht="12" customHeight="1" hidden="1" thickBot="1">
      <c r="C67" s="102" t="s">
        <v>7</v>
      </c>
      <c r="D67" s="103">
        <v>86.04</v>
      </c>
      <c r="F67" s="8" t="s">
        <v>477</v>
      </c>
      <c r="G67" s="16">
        <v>86.04</v>
      </c>
      <c r="H67" s="13"/>
      <c r="I67" s="85">
        <v>0.4</v>
      </c>
      <c r="J67" s="55">
        <v>58</v>
      </c>
      <c r="K67" s="257">
        <f t="shared" si="0"/>
        <v>87</v>
      </c>
      <c r="L67" s="297" t="s">
        <v>462</v>
      </c>
      <c r="M67" s="15">
        <v>0</v>
      </c>
    </row>
    <row r="68" spans="3:13" ht="12" customHeight="1" hidden="1" thickBot="1">
      <c r="C68" s="102" t="s">
        <v>41</v>
      </c>
      <c r="D68" s="104" t="s">
        <v>32</v>
      </c>
      <c r="F68" s="8" t="s">
        <v>42</v>
      </c>
      <c r="G68" s="32" t="s">
        <v>32</v>
      </c>
      <c r="H68" s="33"/>
      <c r="I68" s="85">
        <v>0.5</v>
      </c>
      <c r="J68" s="55">
        <v>68</v>
      </c>
      <c r="K68" s="257">
        <f t="shared" si="0"/>
        <v>102</v>
      </c>
      <c r="L68" s="35" t="s">
        <v>463</v>
      </c>
      <c r="M68" s="16">
        <v>0</v>
      </c>
    </row>
    <row r="69" spans="3:13" ht="12" customHeight="1" hidden="1" thickBot="1">
      <c r="C69" s="102" t="s">
        <v>8</v>
      </c>
      <c r="D69" s="103">
        <v>0.32</v>
      </c>
      <c r="F69" s="8" t="s">
        <v>48</v>
      </c>
      <c r="G69" s="16">
        <v>0.37</v>
      </c>
      <c r="H69" s="51" t="s">
        <v>63</v>
      </c>
      <c r="I69" s="85">
        <v>0.6</v>
      </c>
      <c r="J69" s="55">
        <v>74</v>
      </c>
      <c r="K69" s="257">
        <f t="shared" si="0"/>
        <v>111</v>
      </c>
      <c r="L69" s="35" t="s">
        <v>464</v>
      </c>
      <c r="M69" s="32" t="s">
        <v>468</v>
      </c>
    </row>
    <row r="70" spans="3:25" ht="12" customHeight="1" hidden="1" thickBot="1">
      <c r="C70" s="105" t="s">
        <v>25</v>
      </c>
      <c r="D70" s="106">
        <v>0.0411946</v>
      </c>
      <c r="F70" s="25" t="s">
        <v>469</v>
      </c>
      <c r="G70" s="30">
        <v>25</v>
      </c>
      <c r="H70" s="13"/>
      <c r="I70" s="85">
        <v>0.7</v>
      </c>
      <c r="J70" s="55">
        <v>74</v>
      </c>
      <c r="K70" s="257">
        <f t="shared" si="0"/>
        <v>111</v>
      </c>
      <c r="L70" s="35" t="s">
        <v>465</v>
      </c>
      <c r="M70" s="16">
        <v>0.55</v>
      </c>
      <c r="N70" s="35" t="s">
        <v>496</v>
      </c>
      <c r="O70" s="16">
        <v>0.57</v>
      </c>
      <c r="P70" s="35" t="s">
        <v>498</v>
      </c>
      <c r="Q70" s="16">
        <v>0.57</v>
      </c>
      <c r="R70" s="35" t="s">
        <v>502</v>
      </c>
      <c r="S70" s="16">
        <v>0.6</v>
      </c>
      <c r="T70" s="35" t="s">
        <v>530</v>
      </c>
      <c r="U70" s="3">
        <v>0.71</v>
      </c>
      <c r="V70" s="35" t="s">
        <v>532</v>
      </c>
      <c r="W70" s="3">
        <v>0.77</v>
      </c>
      <c r="X70" s="3" t="s">
        <v>555</v>
      </c>
      <c r="Y70" s="3">
        <v>0.788</v>
      </c>
    </row>
    <row r="71" spans="3:25" ht="12" customHeight="1" hidden="1" thickBot="1">
      <c r="C71" s="107" t="s">
        <v>39</v>
      </c>
      <c r="D71" s="108">
        <v>700</v>
      </c>
      <c r="F71" s="9" t="s">
        <v>40</v>
      </c>
      <c r="G71" s="17">
        <v>850</v>
      </c>
      <c r="H71" s="13"/>
      <c r="I71" s="85">
        <v>0.8</v>
      </c>
      <c r="J71" s="55">
        <v>80</v>
      </c>
      <c r="K71" s="257">
        <f t="shared" si="0"/>
        <v>120</v>
      </c>
      <c r="L71" s="24" t="s">
        <v>470</v>
      </c>
      <c r="M71" s="30">
        <v>0</v>
      </c>
      <c r="X71" s="3" t="s">
        <v>559</v>
      </c>
      <c r="Y71" s="3">
        <v>0.825</v>
      </c>
    </row>
    <row r="72" spans="3:25" ht="12" customHeight="1" hidden="1" thickBot="1">
      <c r="C72" s="93" t="s">
        <v>50</v>
      </c>
      <c r="D72" s="109">
        <v>850</v>
      </c>
      <c r="E72" s="3" t="s">
        <v>53</v>
      </c>
      <c r="F72" s="24" t="s">
        <v>51</v>
      </c>
      <c r="G72" s="26">
        <v>850</v>
      </c>
      <c r="H72" s="28" t="s">
        <v>52</v>
      </c>
      <c r="I72" s="85">
        <v>1</v>
      </c>
      <c r="J72" s="55">
        <v>80</v>
      </c>
      <c r="K72" s="257">
        <f t="shared" si="0"/>
        <v>120</v>
      </c>
      <c r="L72" s="298" t="s">
        <v>466</v>
      </c>
      <c r="M72" s="17">
        <f>IF(puntosproljor&lt;620,M73,salminjorcom)</f>
        <v>1040</v>
      </c>
      <c r="T72" s="298" t="s">
        <v>533</v>
      </c>
      <c r="U72" s="17">
        <f>IF(puntosproljor&lt;620,U73,U74)</f>
        <v>1290</v>
      </c>
      <c r="V72" s="298" t="s">
        <v>534</v>
      </c>
      <c r="W72" s="17">
        <f>IF(puntosproljor&lt;620,W73,W74)</f>
        <v>1290</v>
      </c>
      <c r="X72" s="3" t="s">
        <v>558</v>
      </c>
      <c r="Y72" s="3">
        <v>0.857</v>
      </c>
    </row>
    <row r="73" spans="3:23" ht="12" customHeight="1" hidden="1" thickBot="1">
      <c r="C73" s="96"/>
      <c r="D73" s="96"/>
      <c r="G73" s="6"/>
      <c r="H73" s="13"/>
      <c r="I73" s="85">
        <v>1.1</v>
      </c>
      <c r="J73" s="55">
        <v>84</v>
      </c>
      <c r="K73" s="257">
        <f t="shared" si="0"/>
        <v>126</v>
      </c>
      <c r="L73" s="24" t="s">
        <v>480</v>
      </c>
      <c r="M73" s="27">
        <v>1040</v>
      </c>
      <c r="T73" s="24" t="s">
        <v>480</v>
      </c>
      <c r="U73" s="27">
        <v>1290</v>
      </c>
      <c r="V73" s="24" t="s">
        <v>480</v>
      </c>
      <c r="W73" s="27">
        <v>1290</v>
      </c>
    </row>
    <row r="74" spans="3:23" ht="12" customHeight="1" hidden="1" thickBot="1">
      <c r="C74" s="96" t="s">
        <v>22</v>
      </c>
      <c r="D74" s="96"/>
      <c r="F74" s="3" t="s">
        <v>60</v>
      </c>
      <c r="G74" s="6"/>
      <c r="H74" s="13"/>
      <c r="I74" s="86">
        <v>1.2</v>
      </c>
      <c r="J74" s="56">
        <v>84</v>
      </c>
      <c r="K74" s="257">
        <f t="shared" si="0"/>
        <v>126</v>
      </c>
      <c r="L74" s="24" t="s">
        <v>467</v>
      </c>
      <c r="M74" s="26">
        <v>1320</v>
      </c>
      <c r="T74" s="24" t="s">
        <v>467</v>
      </c>
      <c r="U74" s="26">
        <v>1590</v>
      </c>
      <c r="V74" s="24" t="s">
        <v>467</v>
      </c>
      <c r="W74" s="26">
        <v>1590</v>
      </c>
    </row>
    <row r="75" spans="3:13" ht="12" customHeight="1" hidden="1">
      <c r="C75" s="100" t="s">
        <v>13</v>
      </c>
      <c r="D75" s="101">
        <v>3.528</v>
      </c>
      <c r="F75" s="7" t="s">
        <v>46</v>
      </c>
      <c r="G75" s="15">
        <v>3.528</v>
      </c>
      <c r="H75" s="13"/>
      <c r="M75" s="6"/>
    </row>
    <row r="76" spans="3:13" ht="12" customHeight="1" hidden="1" thickBot="1">
      <c r="C76" s="110" t="s">
        <v>14</v>
      </c>
      <c r="D76" s="103">
        <v>2.6666</v>
      </c>
      <c r="F76" s="10" t="s">
        <v>478</v>
      </c>
      <c r="G76" s="30">
        <v>1.0416</v>
      </c>
      <c r="H76" s="13"/>
      <c r="I76" s="52"/>
      <c r="L76" s="3" t="s">
        <v>481</v>
      </c>
      <c r="M76" s="6"/>
    </row>
    <row r="77" spans="3:13" ht="12" customHeight="1" hidden="1" thickBot="1">
      <c r="C77" s="110" t="s">
        <v>37</v>
      </c>
      <c r="D77" s="103">
        <v>1.8</v>
      </c>
      <c r="F77" s="10" t="s">
        <v>49</v>
      </c>
      <c r="G77" s="30">
        <v>2.7</v>
      </c>
      <c r="H77" s="13" t="s">
        <v>31</v>
      </c>
      <c r="I77" s="19"/>
      <c r="J77" s="20"/>
      <c r="K77" s="13"/>
      <c r="L77" s="7" t="s">
        <v>473</v>
      </c>
      <c r="M77" s="15">
        <v>0</v>
      </c>
    </row>
    <row r="78" spans="3:13" ht="16.5" customHeight="1" hidden="1" thickBot="1">
      <c r="C78" s="111" t="s">
        <v>15</v>
      </c>
      <c r="D78" s="112">
        <v>2.083333</v>
      </c>
      <c r="F78" s="11" t="s">
        <v>45</v>
      </c>
      <c r="G78" s="18">
        <v>1.0416</v>
      </c>
      <c r="H78" s="13"/>
      <c r="I78" s="122" t="s">
        <v>428</v>
      </c>
      <c r="J78" s="271"/>
      <c r="K78" s="84">
        <v>0</v>
      </c>
      <c r="L78" s="10" t="s">
        <v>471</v>
      </c>
      <c r="M78" s="30">
        <v>0</v>
      </c>
    </row>
    <row r="79" spans="3:19" ht="17.25" customHeight="1" hidden="1" thickBot="1">
      <c r="C79" s="96"/>
      <c r="D79" s="96"/>
      <c r="G79" s="6"/>
      <c r="H79" s="13"/>
      <c r="I79" s="124" t="s">
        <v>429</v>
      </c>
      <c r="J79" s="123" t="s">
        <v>430</v>
      </c>
      <c r="K79" s="83">
        <v>0.1</v>
      </c>
      <c r="L79" s="10" t="s">
        <v>482</v>
      </c>
      <c r="M79" s="30">
        <v>8.1</v>
      </c>
      <c r="N79" s="10" t="s">
        <v>494</v>
      </c>
      <c r="O79" s="3">
        <v>9.4</v>
      </c>
      <c r="P79" s="10" t="s">
        <v>499</v>
      </c>
      <c r="Q79" s="3">
        <v>9.4</v>
      </c>
      <c r="R79" s="10" t="s">
        <v>503</v>
      </c>
      <c r="S79" s="3">
        <v>9.4</v>
      </c>
    </row>
    <row r="80" spans="3:13" ht="14.25" customHeight="1" hidden="1" thickBot="1">
      <c r="C80" s="96" t="s">
        <v>23</v>
      </c>
      <c r="D80" s="96"/>
      <c r="F80" s="3" t="s">
        <v>61</v>
      </c>
      <c r="G80" s="6"/>
      <c r="H80" s="13"/>
      <c r="I80" s="118">
        <v>0</v>
      </c>
      <c r="J80" s="116">
        <v>0</v>
      </c>
      <c r="K80" s="85">
        <v>0.15</v>
      </c>
      <c r="L80" s="11" t="s">
        <v>483</v>
      </c>
      <c r="M80" s="18">
        <v>0</v>
      </c>
    </row>
    <row r="81" spans="3:13" ht="17.25" customHeight="1" hidden="1">
      <c r="C81" s="100" t="s">
        <v>17</v>
      </c>
      <c r="D81" s="101">
        <v>2.51</v>
      </c>
      <c r="F81" s="7" t="s">
        <v>44</v>
      </c>
      <c r="G81" s="15">
        <v>2.51</v>
      </c>
      <c r="H81" s="13"/>
      <c r="I81" s="119">
        <v>1</v>
      </c>
      <c r="J81" s="117">
        <v>0.1</v>
      </c>
      <c r="K81" s="85">
        <v>0.3</v>
      </c>
      <c r="M81" s="6"/>
    </row>
    <row r="82" spans="3:13" ht="15.75" customHeight="1" hidden="1" thickBot="1">
      <c r="C82" s="110" t="s">
        <v>18</v>
      </c>
      <c r="D82" s="103">
        <v>3.58</v>
      </c>
      <c r="F82" s="10" t="s">
        <v>479</v>
      </c>
      <c r="G82" s="30">
        <v>1.0416</v>
      </c>
      <c r="H82" s="13"/>
      <c r="I82" s="119">
        <v>2</v>
      </c>
      <c r="J82" s="117">
        <v>0.15</v>
      </c>
      <c r="K82" s="85">
        <v>0.4</v>
      </c>
      <c r="L82" s="3" t="s">
        <v>61</v>
      </c>
      <c r="M82" s="6"/>
    </row>
    <row r="83" spans="3:13" ht="15.75" customHeight="1" hidden="1">
      <c r="C83" s="110" t="s">
        <v>38</v>
      </c>
      <c r="D83" s="103">
        <v>1.8</v>
      </c>
      <c r="F83" s="10" t="s">
        <v>55</v>
      </c>
      <c r="G83" s="30">
        <v>2.7</v>
      </c>
      <c r="H83" s="13" t="s">
        <v>31</v>
      </c>
      <c r="I83" s="119">
        <v>5</v>
      </c>
      <c r="J83" s="117">
        <v>0.3</v>
      </c>
      <c r="K83" s="85">
        <v>0.5</v>
      </c>
      <c r="L83" s="7" t="s">
        <v>472</v>
      </c>
      <c r="M83" s="15">
        <v>0</v>
      </c>
    </row>
    <row r="84" spans="3:13" ht="15" customHeight="1" hidden="1" thickBot="1">
      <c r="C84" s="111" t="s">
        <v>19</v>
      </c>
      <c r="D84" s="112">
        <v>2.08333</v>
      </c>
      <c r="F84" s="11" t="s">
        <v>43</v>
      </c>
      <c r="G84" s="18">
        <v>1.0416</v>
      </c>
      <c r="H84" s="13"/>
      <c r="I84" s="119">
        <v>7</v>
      </c>
      <c r="J84" s="117">
        <v>0.4</v>
      </c>
      <c r="K84" s="85">
        <v>0.6</v>
      </c>
      <c r="L84" s="10" t="s">
        <v>474</v>
      </c>
      <c r="M84" s="30">
        <v>0</v>
      </c>
    </row>
    <row r="85" spans="9:19" ht="15.75" customHeight="1" hidden="1">
      <c r="I85" s="119">
        <v>10</v>
      </c>
      <c r="J85" s="117">
        <v>0.5</v>
      </c>
      <c r="K85" s="85">
        <v>0.7</v>
      </c>
      <c r="L85" s="10" t="s">
        <v>475</v>
      </c>
      <c r="M85" s="30">
        <v>8.1</v>
      </c>
      <c r="N85" s="10" t="s">
        <v>495</v>
      </c>
      <c r="O85" s="3">
        <v>9.4</v>
      </c>
      <c r="P85" s="10" t="s">
        <v>500</v>
      </c>
      <c r="Q85" s="3">
        <v>9.4</v>
      </c>
      <c r="R85" s="10" t="s">
        <v>504</v>
      </c>
      <c r="S85" s="3">
        <v>9.4</v>
      </c>
    </row>
    <row r="86" spans="6:13" ht="15" customHeight="1" hidden="1" thickBot="1">
      <c r="F86" s="128" t="s">
        <v>439</v>
      </c>
      <c r="G86" s="242">
        <v>0</v>
      </c>
      <c r="I86" s="119">
        <v>12</v>
      </c>
      <c r="J86" s="117">
        <v>0.6</v>
      </c>
      <c r="K86" s="85">
        <v>0.8</v>
      </c>
      <c r="L86" s="11" t="s">
        <v>476</v>
      </c>
      <c r="M86" s="18">
        <v>0</v>
      </c>
    </row>
    <row r="87" spans="1:11" ht="13.5" customHeight="1" hidden="1" thickBot="1">
      <c r="A87" s="21"/>
      <c r="B87" s="21"/>
      <c r="C87" s="21"/>
      <c r="D87" s="149"/>
      <c r="F87" s="128" t="s">
        <v>456</v>
      </c>
      <c r="G87" s="242">
        <v>0.5</v>
      </c>
      <c r="H87" s="146"/>
      <c r="I87" s="119">
        <v>15</v>
      </c>
      <c r="J87" s="117">
        <v>0.7</v>
      </c>
      <c r="K87" s="85">
        <v>1</v>
      </c>
    </row>
    <row r="88" spans="4:12" ht="14.25" customHeight="1" hidden="1" thickBot="1">
      <c r="D88" s="150"/>
      <c r="E88" s="151"/>
      <c r="F88" s="252"/>
      <c r="G88" s="152"/>
      <c r="H88" s="153"/>
      <c r="I88" s="119">
        <v>17</v>
      </c>
      <c r="J88" s="117">
        <v>0.8</v>
      </c>
      <c r="K88" s="85">
        <v>1.1</v>
      </c>
      <c r="L88" s="242"/>
    </row>
    <row r="89" spans="5:12" ht="15" customHeight="1" hidden="1" thickBot="1">
      <c r="E89" s="154"/>
      <c r="F89" s="155"/>
      <c r="I89" s="119">
        <v>20</v>
      </c>
      <c r="J89" s="117">
        <v>1</v>
      </c>
      <c r="K89" s="86">
        <v>1.2</v>
      </c>
      <c r="L89" s="242"/>
    </row>
    <row r="90" spans="1:24" s="21" customFormat="1" ht="12" customHeight="1" hidden="1" thickBot="1">
      <c r="A90" s="3"/>
      <c r="B90" s="3"/>
      <c r="C90" s="3"/>
      <c r="D90" s="3"/>
      <c r="E90" s="154"/>
      <c r="F90" s="155"/>
      <c r="G90" s="3"/>
      <c r="H90" s="3"/>
      <c r="I90" s="119">
        <v>22</v>
      </c>
      <c r="J90" s="117">
        <v>1.1</v>
      </c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</row>
    <row r="91" spans="1:27" ht="21" customHeight="1" hidden="1" thickBot="1" thickTop="1">
      <c r="A91" s="20"/>
      <c r="B91" s="20"/>
      <c r="C91" s="20"/>
      <c r="D91" s="20"/>
      <c r="E91" s="20"/>
      <c r="F91" s="19"/>
      <c r="I91" s="120">
        <v>24</v>
      </c>
      <c r="J91" s="121">
        <v>1.2</v>
      </c>
      <c r="L91" s="376" t="s">
        <v>524</v>
      </c>
      <c r="M91" s="3" t="s">
        <v>519</v>
      </c>
      <c r="N91" s="3" t="s">
        <v>520</v>
      </c>
      <c r="O91" s="272" t="s">
        <v>485</v>
      </c>
      <c r="P91" s="272" t="s">
        <v>486</v>
      </c>
      <c r="Q91" s="272" t="s">
        <v>488</v>
      </c>
      <c r="R91" s="272" t="s">
        <v>487</v>
      </c>
      <c r="S91" s="272" t="s">
        <v>521</v>
      </c>
      <c r="T91" s="272" t="s">
        <v>522</v>
      </c>
      <c r="U91" s="292" t="s">
        <v>523</v>
      </c>
      <c r="V91" s="292">
        <v>1</v>
      </c>
      <c r="W91" s="292">
        <v>2</v>
      </c>
      <c r="X91" s="292">
        <v>3</v>
      </c>
      <c r="Y91" s="292">
        <v>4</v>
      </c>
      <c r="Z91" s="292">
        <v>5</v>
      </c>
      <c r="AA91" s="21"/>
    </row>
    <row r="92" spans="1:28" ht="17.25" customHeight="1" hidden="1" thickBot="1">
      <c r="A92" s="20"/>
      <c r="B92" s="20"/>
      <c r="C92" s="20"/>
      <c r="D92" s="20"/>
      <c r="E92" s="20"/>
      <c r="F92" s="19"/>
      <c r="I92" s="333"/>
      <c r="J92" s="334"/>
      <c r="K92" s="372">
        <v>0</v>
      </c>
      <c r="L92" s="377">
        <f aca="true" t="shared" si="1" ref="L92:L103">IF(puntosproljor&lt;620,Z92,U92)</f>
        <v>80</v>
      </c>
      <c r="M92" s="275">
        <v>80</v>
      </c>
      <c r="N92" s="366">
        <v>80</v>
      </c>
      <c r="O92" s="288">
        <v>0</v>
      </c>
      <c r="P92" s="290">
        <v>0</v>
      </c>
      <c r="Q92" s="293">
        <v>0</v>
      </c>
      <c r="R92" s="370">
        <v>0</v>
      </c>
      <c r="S92" s="368">
        <v>80</v>
      </c>
      <c r="T92" s="369">
        <v>80</v>
      </c>
      <c r="U92" s="299">
        <f aca="true" t="shared" si="2" ref="U92:U103">IF(PUNTOSbasicos&gt;971,T92,S92)</f>
        <v>80</v>
      </c>
      <c r="V92" s="299">
        <f aca="true" t="shared" si="3" ref="V92:V103">IF(PUNTOSbasicos&lt;972,M92,N92)</f>
        <v>80</v>
      </c>
      <c r="W92" s="299">
        <f aca="true" t="shared" si="4" ref="W92:W103">IF(PUNTOSbasicos&lt;1170,V92,O92)</f>
        <v>80</v>
      </c>
      <c r="X92" s="299">
        <f aca="true" t="shared" si="5" ref="X92:X103">IF(PUNTOSbasicos&lt;1401,W92,P92)</f>
        <v>80</v>
      </c>
      <c r="Y92" s="299">
        <f aca="true" t="shared" si="6" ref="Y92:Y103">IF(PUNTOSbasicos&lt;1943,X92,Q92)</f>
        <v>80</v>
      </c>
      <c r="Z92" s="299">
        <f aca="true" t="shared" si="7" ref="Z92:Z103">IF(PUNTOSbasicos&lt;=2220,Y92,R92)</f>
        <v>80</v>
      </c>
      <c r="AA92" s="21"/>
      <c r="AB92" s="21"/>
    </row>
    <row r="93" spans="1:28" ht="15" customHeight="1" hidden="1" thickBot="1">
      <c r="A93" s="20"/>
      <c r="B93" s="20"/>
      <c r="C93" s="20"/>
      <c r="D93" s="20"/>
      <c r="E93" s="20"/>
      <c r="F93" s="19"/>
      <c r="I93" s="333"/>
      <c r="J93" s="334"/>
      <c r="K93" s="373">
        <v>0.1</v>
      </c>
      <c r="L93" s="377">
        <f t="shared" si="1"/>
        <v>90</v>
      </c>
      <c r="M93" s="275">
        <v>90</v>
      </c>
      <c r="N93" s="367">
        <v>90</v>
      </c>
      <c r="O93" s="288">
        <v>0</v>
      </c>
      <c r="P93" s="290">
        <v>0</v>
      </c>
      <c r="Q93" s="293">
        <v>0</v>
      </c>
      <c r="R93" s="370">
        <v>0</v>
      </c>
      <c r="S93" s="368">
        <v>90</v>
      </c>
      <c r="T93" s="369">
        <v>90</v>
      </c>
      <c r="U93" s="299">
        <f t="shared" si="2"/>
        <v>90</v>
      </c>
      <c r="V93" s="299">
        <f t="shared" si="3"/>
        <v>90</v>
      </c>
      <c r="W93" s="299">
        <f t="shared" si="4"/>
        <v>90</v>
      </c>
      <c r="X93" s="299">
        <f t="shared" si="5"/>
        <v>90</v>
      </c>
      <c r="Y93" s="299">
        <f t="shared" si="6"/>
        <v>90</v>
      </c>
      <c r="Z93" s="299">
        <f t="shared" si="7"/>
        <v>90</v>
      </c>
      <c r="AA93" s="21"/>
      <c r="AB93" s="21"/>
    </row>
    <row r="94" spans="1:28" ht="18.75" customHeight="1" hidden="1" thickBot="1">
      <c r="A94" s="20"/>
      <c r="B94" s="20"/>
      <c r="C94" s="20"/>
      <c r="D94" s="20"/>
      <c r="E94" s="20"/>
      <c r="F94" s="19"/>
      <c r="I94" s="333"/>
      <c r="J94" s="334"/>
      <c r="K94" s="374">
        <v>0.15</v>
      </c>
      <c r="L94" s="377">
        <f t="shared" si="1"/>
        <v>180</v>
      </c>
      <c r="M94" s="275">
        <v>180</v>
      </c>
      <c r="N94" s="367">
        <v>180</v>
      </c>
      <c r="O94" s="289">
        <v>240</v>
      </c>
      <c r="P94" s="291">
        <v>193</v>
      </c>
      <c r="Q94" s="294">
        <v>180</v>
      </c>
      <c r="R94" s="370">
        <v>0</v>
      </c>
      <c r="S94" s="368">
        <v>220</v>
      </c>
      <c r="T94" s="369">
        <v>220</v>
      </c>
      <c r="U94" s="299">
        <f t="shared" si="2"/>
        <v>220</v>
      </c>
      <c r="V94" s="299">
        <f t="shared" si="3"/>
        <v>180</v>
      </c>
      <c r="W94" s="299">
        <f t="shared" si="4"/>
        <v>180</v>
      </c>
      <c r="X94" s="299">
        <f t="shared" si="5"/>
        <v>180</v>
      </c>
      <c r="Y94" s="299">
        <f t="shared" si="6"/>
        <v>180</v>
      </c>
      <c r="Z94" s="299">
        <f t="shared" si="7"/>
        <v>180</v>
      </c>
      <c r="AA94" s="21"/>
      <c r="AB94" s="21"/>
    </row>
    <row r="95" spans="1:28" ht="15" customHeight="1" hidden="1" thickBot="1">
      <c r="A95" s="20"/>
      <c r="B95" s="20"/>
      <c r="C95" s="20"/>
      <c r="D95" s="20"/>
      <c r="E95" s="20"/>
      <c r="F95" s="19"/>
      <c r="I95" s="333"/>
      <c r="J95" s="334"/>
      <c r="K95" s="374">
        <v>0.3</v>
      </c>
      <c r="L95" s="377">
        <f t="shared" si="1"/>
        <v>225</v>
      </c>
      <c r="M95" s="275">
        <v>225</v>
      </c>
      <c r="N95" s="367">
        <v>195</v>
      </c>
      <c r="O95" s="289">
        <v>240</v>
      </c>
      <c r="P95" s="291">
        <v>193</v>
      </c>
      <c r="Q95" s="294">
        <v>180</v>
      </c>
      <c r="R95" s="370">
        <v>0</v>
      </c>
      <c r="S95" s="368">
        <v>380</v>
      </c>
      <c r="T95" s="369">
        <v>350</v>
      </c>
      <c r="U95" s="299">
        <f t="shared" si="2"/>
        <v>380</v>
      </c>
      <c r="V95" s="299">
        <f t="shared" si="3"/>
        <v>225</v>
      </c>
      <c r="W95" s="299">
        <f t="shared" si="4"/>
        <v>225</v>
      </c>
      <c r="X95" s="299">
        <f t="shared" si="5"/>
        <v>225</v>
      </c>
      <c r="Y95" s="299">
        <f t="shared" si="6"/>
        <v>225</v>
      </c>
      <c r="Z95" s="299">
        <f t="shared" si="7"/>
        <v>225</v>
      </c>
      <c r="AA95" s="21"/>
      <c r="AB95" s="21"/>
    </row>
    <row r="96" spans="1:28" ht="20.25" customHeight="1" hidden="1" thickBot="1">
      <c r="A96" s="20"/>
      <c r="B96" s="20"/>
      <c r="C96" s="20"/>
      <c r="D96" s="20"/>
      <c r="E96" s="20"/>
      <c r="F96" s="19"/>
      <c r="I96" s="333"/>
      <c r="J96" s="334"/>
      <c r="K96" s="374">
        <v>0.4</v>
      </c>
      <c r="L96" s="377">
        <f t="shared" si="1"/>
        <v>250</v>
      </c>
      <c r="M96" s="275">
        <v>250</v>
      </c>
      <c r="N96" s="367">
        <v>210</v>
      </c>
      <c r="O96" s="289">
        <v>250</v>
      </c>
      <c r="P96" s="291">
        <v>200</v>
      </c>
      <c r="Q96" s="294">
        <v>180</v>
      </c>
      <c r="R96" s="370">
        <v>140</v>
      </c>
      <c r="S96" s="368">
        <v>440</v>
      </c>
      <c r="T96" s="369">
        <v>400</v>
      </c>
      <c r="U96" s="299">
        <f t="shared" si="2"/>
        <v>440</v>
      </c>
      <c r="V96" s="299">
        <f t="shared" si="3"/>
        <v>250</v>
      </c>
      <c r="W96" s="299">
        <f t="shared" si="4"/>
        <v>250</v>
      </c>
      <c r="X96" s="299">
        <f t="shared" si="5"/>
        <v>250</v>
      </c>
      <c r="Y96" s="299">
        <f t="shared" si="6"/>
        <v>250</v>
      </c>
      <c r="Z96" s="299">
        <f t="shared" si="7"/>
        <v>250</v>
      </c>
      <c r="AA96" s="21"/>
      <c r="AB96" s="21"/>
    </row>
    <row r="97" spans="1:28" ht="21" customHeight="1" hidden="1" thickBot="1">
      <c r="A97" s="20"/>
      <c r="B97" s="20"/>
      <c r="C97" s="20"/>
      <c r="D97" s="20"/>
      <c r="E97" s="20"/>
      <c r="F97" s="19"/>
      <c r="I97" s="333"/>
      <c r="J97" s="334"/>
      <c r="K97" s="374">
        <v>0.5</v>
      </c>
      <c r="L97" s="377">
        <f t="shared" si="1"/>
        <v>270</v>
      </c>
      <c r="M97" s="275">
        <v>270</v>
      </c>
      <c r="N97" s="367">
        <v>230</v>
      </c>
      <c r="O97" s="289">
        <v>250</v>
      </c>
      <c r="P97" s="274">
        <v>200</v>
      </c>
      <c r="Q97" s="294">
        <v>180</v>
      </c>
      <c r="R97" s="370">
        <v>140</v>
      </c>
      <c r="S97" s="368">
        <v>475</v>
      </c>
      <c r="T97" s="369">
        <v>435</v>
      </c>
      <c r="U97" s="299">
        <f t="shared" si="2"/>
        <v>475</v>
      </c>
      <c r="V97" s="299">
        <f t="shared" si="3"/>
        <v>270</v>
      </c>
      <c r="W97" s="299">
        <f t="shared" si="4"/>
        <v>270</v>
      </c>
      <c r="X97" s="299">
        <f t="shared" si="5"/>
        <v>270</v>
      </c>
      <c r="Y97" s="299">
        <f t="shared" si="6"/>
        <v>270</v>
      </c>
      <c r="Z97" s="299">
        <f t="shared" si="7"/>
        <v>270</v>
      </c>
      <c r="AA97" s="21"/>
      <c r="AB97" s="21"/>
    </row>
    <row r="98" spans="1:28" ht="18.75" customHeight="1" hidden="1" thickBot="1">
      <c r="A98" s="20"/>
      <c r="B98" s="20"/>
      <c r="C98" s="20"/>
      <c r="D98" s="20"/>
      <c r="E98" s="20"/>
      <c r="F98" s="19"/>
      <c r="I98" s="333"/>
      <c r="J98" s="334"/>
      <c r="K98" s="374">
        <v>0.6</v>
      </c>
      <c r="L98" s="377">
        <f t="shared" si="1"/>
        <v>320</v>
      </c>
      <c r="M98" s="275">
        <v>320</v>
      </c>
      <c r="N98" s="367">
        <v>260</v>
      </c>
      <c r="O98" s="289">
        <v>260</v>
      </c>
      <c r="P98" s="274">
        <v>203</v>
      </c>
      <c r="Q98" s="294">
        <v>190</v>
      </c>
      <c r="R98" s="370">
        <v>160</v>
      </c>
      <c r="S98" s="368">
        <v>510</v>
      </c>
      <c r="T98" s="369">
        <v>450</v>
      </c>
      <c r="U98" s="299">
        <f t="shared" si="2"/>
        <v>510</v>
      </c>
      <c r="V98" s="299">
        <f t="shared" si="3"/>
        <v>320</v>
      </c>
      <c r="W98" s="299">
        <f t="shared" si="4"/>
        <v>320</v>
      </c>
      <c r="X98" s="299">
        <f t="shared" si="5"/>
        <v>320</v>
      </c>
      <c r="Y98" s="299">
        <f t="shared" si="6"/>
        <v>320</v>
      </c>
      <c r="Z98" s="299">
        <f t="shared" si="7"/>
        <v>320</v>
      </c>
      <c r="AA98" s="21"/>
      <c r="AB98" s="21"/>
    </row>
    <row r="99" spans="1:28" ht="15" customHeight="1" hidden="1" thickBot="1">
      <c r="A99" s="20"/>
      <c r="B99" s="20"/>
      <c r="C99" s="20"/>
      <c r="D99" s="20"/>
      <c r="E99" s="20"/>
      <c r="F99" s="19"/>
      <c r="I99" s="333"/>
      <c r="J99" s="334"/>
      <c r="K99" s="374">
        <v>0.7</v>
      </c>
      <c r="L99" s="377">
        <f t="shared" si="1"/>
        <v>345</v>
      </c>
      <c r="M99" s="275">
        <v>345</v>
      </c>
      <c r="N99" s="367">
        <v>285</v>
      </c>
      <c r="O99" s="289">
        <v>365</v>
      </c>
      <c r="P99" s="274">
        <v>230</v>
      </c>
      <c r="Q99" s="294">
        <v>190</v>
      </c>
      <c r="R99" s="370">
        <v>160</v>
      </c>
      <c r="S99" s="368">
        <v>525</v>
      </c>
      <c r="T99" s="369">
        <v>465</v>
      </c>
      <c r="U99" s="299">
        <f t="shared" si="2"/>
        <v>525</v>
      </c>
      <c r="V99" s="299">
        <f t="shared" si="3"/>
        <v>345</v>
      </c>
      <c r="W99" s="299">
        <f t="shared" si="4"/>
        <v>345</v>
      </c>
      <c r="X99" s="299">
        <f t="shared" si="5"/>
        <v>345</v>
      </c>
      <c r="Y99" s="299">
        <f t="shared" si="6"/>
        <v>345</v>
      </c>
      <c r="Z99" s="299">
        <f t="shared" si="7"/>
        <v>345</v>
      </c>
      <c r="AA99" s="21"/>
      <c r="AB99" s="21"/>
    </row>
    <row r="100" spans="1:28" ht="18.75" customHeight="1" hidden="1" thickBot="1">
      <c r="A100" s="20"/>
      <c r="B100" s="20"/>
      <c r="C100" s="20"/>
      <c r="D100" s="20"/>
      <c r="E100" s="20"/>
      <c r="F100" s="19"/>
      <c r="I100" s="333"/>
      <c r="J100" s="334"/>
      <c r="K100" s="374">
        <v>0.8</v>
      </c>
      <c r="L100" s="377">
        <f t="shared" si="1"/>
        <v>425</v>
      </c>
      <c r="M100" s="275">
        <v>425</v>
      </c>
      <c r="N100" s="367">
        <v>345</v>
      </c>
      <c r="O100" s="273">
        <v>395</v>
      </c>
      <c r="P100" s="274">
        <v>340</v>
      </c>
      <c r="Q100" s="295">
        <v>280</v>
      </c>
      <c r="R100" s="371">
        <v>180</v>
      </c>
      <c r="S100" s="368">
        <v>555</v>
      </c>
      <c r="T100" s="369">
        <v>475</v>
      </c>
      <c r="U100" s="299">
        <f t="shared" si="2"/>
        <v>555</v>
      </c>
      <c r="V100" s="299">
        <f t="shared" si="3"/>
        <v>425</v>
      </c>
      <c r="W100" s="299">
        <f t="shared" si="4"/>
        <v>425</v>
      </c>
      <c r="X100" s="299">
        <f t="shared" si="5"/>
        <v>425</v>
      </c>
      <c r="Y100" s="299">
        <f t="shared" si="6"/>
        <v>425</v>
      </c>
      <c r="Z100" s="299">
        <f t="shared" si="7"/>
        <v>425</v>
      </c>
      <c r="AA100" s="21"/>
      <c r="AB100" s="21"/>
    </row>
    <row r="101" spans="1:28" ht="15.75" customHeight="1" hidden="1" thickBot="1">
      <c r="A101" s="20"/>
      <c r="B101" s="20"/>
      <c r="C101" s="20"/>
      <c r="D101" s="20"/>
      <c r="E101" s="20"/>
      <c r="F101" s="19"/>
      <c r="I101" s="333"/>
      <c r="J101" s="334"/>
      <c r="K101" s="374">
        <v>1</v>
      </c>
      <c r="L101" s="377">
        <f t="shared" si="1"/>
        <v>535</v>
      </c>
      <c r="M101" s="275">
        <v>535</v>
      </c>
      <c r="N101" s="367">
        <v>435</v>
      </c>
      <c r="O101" s="273">
        <v>410</v>
      </c>
      <c r="P101" s="274">
        <v>330</v>
      </c>
      <c r="Q101" s="295">
        <v>310</v>
      </c>
      <c r="R101" s="371">
        <v>180</v>
      </c>
      <c r="S101" s="368">
        <v>590</v>
      </c>
      <c r="T101" s="369">
        <v>490</v>
      </c>
      <c r="U101" s="299">
        <f t="shared" si="2"/>
        <v>590</v>
      </c>
      <c r="V101" s="299">
        <f t="shared" si="3"/>
        <v>535</v>
      </c>
      <c r="W101" s="299">
        <f t="shared" si="4"/>
        <v>535</v>
      </c>
      <c r="X101" s="299">
        <f t="shared" si="5"/>
        <v>535</v>
      </c>
      <c r="Y101" s="299">
        <f t="shared" si="6"/>
        <v>535</v>
      </c>
      <c r="Z101" s="299">
        <f t="shared" si="7"/>
        <v>535</v>
      </c>
      <c r="AA101" s="21"/>
      <c r="AB101" s="21"/>
    </row>
    <row r="102" spans="1:28" ht="15.75" customHeight="1" hidden="1" thickBot="1">
      <c r="A102" s="20"/>
      <c r="B102" s="20"/>
      <c r="C102" s="20"/>
      <c r="D102" s="20"/>
      <c r="E102" s="20"/>
      <c r="F102" s="19"/>
      <c r="I102" s="333"/>
      <c r="J102" s="334"/>
      <c r="K102" s="374">
        <v>1.1</v>
      </c>
      <c r="L102" s="377">
        <f t="shared" si="1"/>
        <v>605</v>
      </c>
      <c r="M102" s="275">
        <v>605</v>
      </c>
      <c r="N102" s="367">
        <v>495</v>
      </c>
      <c r="O102" s="273">
        <v>430</v>
      </c>
      <c r="P102" s="274">
        <v>330</v>
      </c>
      <c r="Q102" s="295">
        <v>320</v>
      </c>
      <c r="R102" s="371">
        <v>190</v>
      </c>
      <c r="S102" s="368">
        <v>615</v>
      </c>
      <c r="T102" s="369">
        <v>505</v>
      </c>
      <c r="U102" s="299">
        <f t="shared" si="2"/>
        <v>615</v>
      </c>
      <c r="V102" s="299">
        <f t="shared" si="3"/>
        <v>605</v>
      </c>
      <c r="W102" s="299">
        <f t="shared" si="4"/>
        <v>605</v>
      </c>
      <c r="X102" s="299">
        <f t="shared" si="5"/>
        <v>605</v>
      </c>
      <c r="Y102" s="299">
        <f t="shared" si="6"/>
        <v>605</v>
      </c>
      <c r="Z102" s="299">
        <f t="shared" si="7"/>
        <v>605</v>
      </c>
      <c r="AA102" s="21"/>
      <c r="AB102" s="21"/>
    </row>
    <row r="103" spans="1:28" ht="17.25" customHeight="1" hidden="1" thickBot="1">
      <c r="A103" s="20"/>
      <c r="B103" s="20"/>
      <c r="C103" s="20"/>
      <c r="D103" s="20"/>
      <c r="E103" s="20"/>
      <c r="F103" s="19"/>
      <c r="I103" s="333"/>
      <c r="J103" s="334"/>
      <c r="K103" s="375">
        <v>1.2</v>
      </c>
      <c r="L103" s="378">
        <f t="shared" si="1"/>
        <v>620</v>
      </c>
      <c r="M103" s="275">
        <v>620</v>
      </c>
      <c r="N103" s="367">
        <v>510</v>
      </c>
      <c r="O103" s="273">
        <v>480</v>
      </c>
      <c r="P103" s="274">
        <v>335</v>
      </c>
      <c r="Q103" s="295">
        <v>330</v>
      </c>
      <c r="R103" s="371">
        <v>190</v>
      </c>
      <c r="S103" s="368">
        <v>620</v>
      </c>
      <c r="T103" s="369">
        <v>510</v>
      </c>
      <c r="U103" s="299">
        <f t="shared" si="2"/>
        <v>620</v>
      </c>
      <c r="V103" s="299">
        <f t="shared" si="3"/>
        <v>620</v>
      </c>
      <c r="W103" s="299">
        <f t="shared" si="4"/>
        <v>620</v>
      </c>
      <c r="X103" s="299">
        <f t="shared" si="5"/>
        <v>620</v>
      </c>
      <c r="Y103" s="299">
        <f t="shared" si="6"/>
        <v>620</v>
      </c>
      <c r="Z103" s="299">
        <f t="shared" si="7"/>
        <v>620</v>
      </c>
      <c r="AA103" s="21"/>
      <c r="AB103" s="21"/>
    </row>
    <row r="104" spans="1:24" ht="13.5" customHeight="1" hidden="1">
      <c r="A104" s="20"/>
      <c r="B104" s="20"/>
      <c r="C104" s="20"/>
      <c r="D104" s="20"/>
      <c r="E104" s="20"/>
      <c r="F104" s="19"/>
      <c r="I104" s="333"/>
      <c r="J104" s="334"/>
      <c r="R104" s="21"/>
      <c r="W104" s="21"/>
      <c r="X104" s="21"/>
    </row>
    <row r="105" spans="1:24" ht="24" customHeight="1" hidden="1" thickBot="1">
      <c r="A105" s="20"/>
      <c r="B105" s="20"/>
      <c r="C105" s="20"/>
      <c r="D105" s="20"/>
      <c r="E105" s="20"/>
      <c r="F105" s="19"/>
      <c r="I105" s="27"/>
      <c r="J105" s="90"/>
      <c r="N105" s="405" t="s">
        <v>550</v>
      </c>
      <c r="W105" s="21"/>
      <c r="X105" s="21"/>
    </row>
    <row r="106" spans="1:26" ht="12" customHeight="1" hidden="1" thickBot="1" thickTop="1">
      <c r="A106" s="20"/>
      <c r="B106" s="20"/>
      <c r="C106" s="20"/>
      <c r="D106" s="20"/>
      <c r="E106" s="20"/>
      <c r="F106" s="19"/>
      <c r="I106" s="27"/>
      <c r="J106" s="90"/>
      <c r="L106" s="376" t="s">
        <v>524</v>
      </c>
      <c r="M106" s="3" t="s">
        <v>519</v>
      </c>
      <c r="N106" s="3" t="s">
        <v>520</v>
      </c>
      <c r="O106" s="272" t="s">
        <v>485</v>
      </c>
      <c r="P106" s="272" t="s">
        <v>486</v>
      </c>
      <c r="Q106" s="272" t="s">
        <v>488</v>
      </c>
      <c r="R106" s="272" t="s">
        <v>487</v>
      </c>
      <c r="S106" s="272" t="s">
        <v>521</v>
      </c>
      <c r="T106" s="272" t="s">
        <v>522</v>
      </c>
      <c r="U106" s="292" t="s">
        <v>523</v>
      </c>
      <c r="V106" s="292">
        <v>1</v>
      </c>
      <c r="W106" s="292">
        <v>2</v>
      </c>
      <c r="X106" s="292">
        <v>3</v>
      </c>
      <c r="Y106" s="292">
        <v>4</v>
      </c>
      <c r="Z106" s="292">
        <v>5</v>
      </c>
    </row>
    <row r="107" spans="1:26" ht="12" customHeight="1" hidden="1" thickBot="1">
      <c r="A107" s="20"/>
      <c r="B107" s="20"/>
      <c r="C107" s="20"/>
      <c r="D107" s="20"/>
      <c r="E107" s="20"/>
      <c r="F107" s="19"/>
      <c r="I107" s="27"/>
      <c r="J107" s="90"/>
      <c r="K107" s="372">
        <v>0</v>
      </c>
      <c r="L107" s="377">
        <f aca="true" t="shared" si="8" ref="L107:L118">IF(puntosproljor&lt;620,Z107,U107)</f>
        <v>160</v>
      </c>
      <c r="M107" s="275">
        <v>160</v>
      </c>
      <c r="N107" s="366">
        <v>80</v>
      </c>
      <c r="O107" s="288">
        <v>0</v>
      </c>
      <c r="P107" s="290">
        <v>0</v>
      </c>
      <c r="Q107" s="293">
        <v>0</v>
      </c>
      <c r="R107" s="370">
        <v>0</v>
      </c>
      <c r="S107" s="368">
        <v>160</v>
      </c>
      <c r="T107" s="369">
        <v>80</v>
      </c>
      <c r="U107" s="299">
        <f aca="true" t="shared" si="9" ref="U107:U118">IF(PUNTOSbasicos&gt;971,T107,S107)</f>
        <v>160</v>
      </c>
      <c r="V107" s="299">
        <f aca="true" t="shared" si="10" ref="V107:V118">IF(PUNTOSbasicos&lt;972,M107,N107)</f>
        <v>160</v>
      </c>
      <c r="W107" s="299">
        <f aca="true" t="shared" si="11" ref="W107:W118">IF(PUNTOSbasicos&lt;1170,V107,O107)</f>
        <v>160</v>
      </c>
      <c r="X107" s="299">
        <f aca="true" t="shared" si="12" ref="X107:X118">IF(PUNTOSbasicos&lt;1401,W107,P107)</f>
        <v>160</v>
      </c>
      <c r="Y107" s="299">
        <f aca="true" t="shared" si="13" ref="Y107:Y118">IF(PUNTOSbasicos&lt;1943,X107,Q107)</f>
        <v>160</v>
      </c>
      <c r="Z107" s="299">
        <f aca="true" t="shared" si="14" ref="Z107:Z118">IF(PUNTOSbasicos&lt;=2220,Y107,R107)</f>
        <v>160</v>
      </c>
    </row>
    <row r="108" spans="1:26" ht="12" customHeight="1" hidden="1" thickBot="1">
      <c r="A108" s="20"/>
      <c r="B108" s="20"/>
      <c r="C108" s="20"/>
      <c r="D108" s="20"/>
      <c r="E108" s="20"/>
      <c r="F108" s="19"/>
      <c r="I108" s="27"/>
      <c r="J108" s="90"/>
      <c r="K108" s="373">
        <v>0.1</v>
      </c>
      <c r="L108" s="377">
        <f t="shared" si="8"/>
        <v>175</v>
      </c>
      <c r="M108" s="275">
        <v>175</v>
      </c>
      <c r="N108" s="367">
        <v>90</v>
      </c>
      <c r="O108" s="288">
        <v>0</v>
      </c>
      <c r="P108" s="290">
        <v>0</v>
      </c>
      <c r="Q108" s="293">
        <v>0</v>
      </c>
      <c r="R108" s="370">
        <v>0</v>
      </c>
      <c r="S108" s="368">
        <v>175</v>
      </c>
      <c r="T108" s="369">
        <v>90</v>
      </c>
      <c r="U108" s="299">
        <f t="shared" si="9"/>
        <v>175</v>
      </c>
      <c r="V108" s="299">
        <f t="shared" si="10"/>
        <v>175</v>
      </c>
      <c r="W108" s="299">
        <f t="shared" si="11"/>
        <v>175</v>
      </c>
      <c r="X108" s="299">
        <f t="shared" si="12"/>
        <v>175</v>
      </c>
      <c r="Y108" s="299">
        <f t="shared" si="13"/>
        <v>175</v>
      </c>
      <c r="Z108" s="299">
        <f t="shared" si="14"/>
        <v>175</v>
      </c>
    </row>
    <row r="109" spans="1:26" ht="12" customHeight="1" hidden="1" thickBot="1">
      <c r="A109" s="20"/>
      <c r="B109" s="20"/>
      <c r="C109" s="20"/>
      <c r="D109" s="20"/>
      <c r="E109" s="20"/>
      <c r="F109" s="19"/>
      <c r="I109" s="27"/>
      <c r="J109" s="90"/>
      <c r="K109" s="374">
        <v>0.15</v>
      </c>
      <c r="L109" s="377">
        <f t="shared" si="8"/>
        <v>270</v>
      </c>
      <c r="M109" s="275">
        <v>270</v>
      </c>
      <c r="N109" s="367">
        <v>180</v>
      </c>
      <c r="O109" s="289">
        <v>240</v>
      </c>
      <c r="P109" s="291">
        <v>193</v>
      </c>
      <c r="Q109" s="294">
        <v>180</v>
      </c>
      <c r="R109" s="370">
        <v>0</v>
      </c>
      <c r="S109" s="368">
        <v>310</v>
      </c>
      <c r="T109" s="369">
        <v>220</v>
      </c>
      <c r="U109" s="299">
        <f t="shared" si="9"/>
        <v>310</v>
      </c>
      <c r="V109" s="299">
        <f t="shared" si="10"/>
        <v>270</v>
      </c>
      <c r="W109" s="299">
        <f t="shared" si="11"/>
        <v>270</v>
      </c>
      <c r="X109" s="299">
        <f t="shared" si="12"/>
        <v>270</v>
      </c>
      <c r="Y109" s="299">
        <f t="shared" si="13"/>
        <v>270</v>
      </c>
      <c r="Z109" s="299">
        <f t="shared" si="14"/>
        <v>270</v>
      </c>
    </row>
    <row r="110" spans="1:26" ht="12" customHeight="1" hidden="1" thickBot="1">
      <c r="A110" s="20"/>
      <c r="B110" s="20"/>
      <c r="C110" s="20"/>
      <c r="D110" s="20"/>
      <c r="E110" s="20"/>
      <c r="F110" s="410"/>
      <c r="G110" s="406">
        <v>80</v>
      </c>
      <c r="H110" s="407">
        <v>90</v>
      </c>
      <c r="I110" s="407">
        <v>100</v>
      </c>
      <c r="J110" s="411">
        <f>I110+S92</f>
        <v>180</v>
      </c>
      <c r="K110" s="374">
        <v>0.3</v>
      </c>
      <c r="L110" s="377">
        <f t="shared" si="8"/>
        <v>320</v>
      </c>
      <c r="M110" s="275">
        <v>320</v>
      </c>
      <c r="N110" s="367">
        <v>195</v>
      </c>
      <c r="O110" s="289">
        <v>240</v>
      </c>
      <c r="P110" s="291">
        <v>193</v>
      </c>
      <c r="Q110" s="294">
        <v>180</v>
      </c>
      <c r="R110" s="370">
        <v>0</v>
      </c>
      <c r="S110" s="368">
        <v>475</v>
      </c>
      <c r="T110" s="369">
        <v>350</v>
      </c>
      <c r="U110" s="299">
        <f t="shared" si="9"/>
        <v>475</v>
      </c>
      <c r="V110" s="299">
        <f t="shared" si="10"/>
        <v>320</v>
      </c>
      <c r="W110" s="299">
        <f t="shared" si="11"/>
        <v>320</v>
      </c>
      <c r="X110" s="299">
        <f t="shared" si="12"/>
        <v>320</v>
      </c>
      <c r="Y110" s="299">
        <f t="shared" si="13"/>
        <v>320</v>
      </c>
      <c r="Z110" s="299">
        <f t="shared" si="14"/>
        <v>320</v>
      </c>
    </row>
    <row r="111" spans="1:26" ht="12" customHeight="1" hidden="1" thickBot="1">
      <c r="A111" s="20"/>
      <c r="B111" s="20"/>
      <c r="C111" s="20"/>
      <c r="D111" s="20"/>
      <c r="E111" s="20"/>
      <c r="F111" s="408">
        <v>0.1</v>
      </c>
      <c r="G111" s="406">
        <v>85</v>
      </c>
      <c r="H111" s="407">
        <v>95</v>
      </c>
      <c r="I111" s="407">
        <v>105</v>
      </c>
      <c r="J111" s="411">
        <f aca="true" t="shared" si="15" ref="J111:J121">I111+S93</f>
        <v>195</v>
      </c>
      <c r="K111" s="374">
        <v>0.4</v>
      </c>
      <c r="L111" s="377">
        <f t="shared" si="8"/>
        <v>350</v>
      </c>
      <c r="M111" s="275">
        <v>350</v>
      </c>
      <c r="N111" s="367">
        <v>210</v>
      </c>
      <c r="O111" s="289">
        <v>250</v>
      </c>
      <c r="P111" s="291">
        <v>200</v>
      </c>
      <c r="Q111" s="294">
        <v>180</v>
      </c>
      <c r="R111" s="370">
        <v>140</v>
      </c>
      <c r="S111" s="368">
        <v>540</v>
      </c>
      <c r="T111" s="369">
        <v>400</v>
      </c>
      <c r="U111" s="299">
        <f t="shared" si="9"/>
        <v>540</v>
      </c>
      <c r="V111" s="299">
        <f t="shared" si="10"/>
        <v>350</v>
      </c>
      <c r="W111" s="299">
        <f t="shared" si="11"/>
        <v>350</v>
      </c>
      <c r="X111" s="299">
        <f t="shared" si="12"/>
        <v>350</v>
      </c>
      <c r="Y111" s="299">
        <f t="shared" si="13"/>
        <v>350</v>
      </c>
      <c r="Z111" s="299">
        <f t="shared" si="14"/>
        <v>350</v>
      </c>
    </row>
    <row r="112" spans="1:26" ht="12" customHeight="1" hidden="1" thickBot="1">
      <c r="A112" s="20"/>
      <c r="B112" s="20"/>
      <c r="C112" s="20"/>
      <c r="D112" s="20"/>
      <c r="E112" s="20"/>
      <c r="F112" s="408">
        <v>0.15</v>
      </c>
      <c r="G112" s="406">
        <v>90</v>
      </c>
      <c r="H112" s="407">
        <v>100</v>
      </c>
      <c r="I112" s="407">
        <v>110</v>
      </c>
      <c r="J112" s="411">
        <f t="shared" si="15"/>
        <v>330</v>
      </c>
      <c r="K112" s="374">
        <v>0.5</v>
      </c>
      <c r="L112" s="377">
        <f t="shared" si="8"/>
        <v>375</v>
      </c>
      <c r="M112" s="275">
        <v>375</v>
      </c>
      <c r="N112" s="367">
        <v>230</v>
      </c>
      <c r="O112" s="289">
        <v>250</v>
      </c>
      <c r="P112" s="274">
        <v>200</v>
      </c>
      <c r="Q112" s="294">
        <v>180</v>
      </c>
      <c r="R112" s="370">
        <v>140</v>
      </c>
      <c r="S112" s="368">
        <v>580</v>
      </c>
      <c r="T112" s="369">
        <v>435</v>
      </c>
      <c r="U112" s="299">
        <f t="shared" si="9"/>
        <v>580</v>
      </c>
      <c r="V112" s="299">
        <f t="shared" si="10"/>
        <v>375</v>
      </c>
      <c r="W112" s="299">
        <f t="shared" si="11"/>
        <v>375</v>
      </c>
      <c r="X112" s="299">
        <f t="shared" si="12"/>
        <v>375</v>
      </c>
      <c r="Y112" s="299">
        <f t="shared" si="13"/>
        <v>375</v>
      </c>
      <c r="Z112" s="299">
        <f t="shared" si="14"/>
        <v>375</v>
      </c>
    </row>
    <row r="113" spans="1:26" ht="12" customHeight="1" hidden="1" thickBot="1">
      <c r="A113" s="20"/>
      <c r="B113" s="20"/>
      <c r="C113" s="20"/>
      <c r="D113" s="20"/>
      <c r="E113" s="20"/>
      <c r="F113" s="408">
        <v>0.3</v>
      </c>
      <c r="G113" s="406">
        <v>95</v>
      </c>
      <c r="H113" s="407">
        <v>105</v>
      </c>
      <c r="I113" s="407">
        <v>115</v>
      </c>
      <c r="J113" s="411">
        <f t="shared" si="15"/>
        <v>495</v>
      </c>
      <c r="K113" s="374">
        <v>0.6</v>
      </c>
      <c r="L113" s="377">
        <f t="shared" si="8"/>
        <v>430</v>
      </c>
      <c r="M113" s="275">
        <v>430</v>
      </c>
      <c r="N113" s="367">
        <v>260</v>
      </c>
      <c r="O113" s="289">
        <v>260</v>
      </c>
      <c r="P113" s="274">
        <v>203</v>
      </c>
      <c r="Q113" s="294">
        <v>190</v>
      </c>
      <c r="R113" s="370">
        <v>160</v>
      </c>
      <c r="S113" s="368">
        <v>620</v>
      </c>
      <c r="T113" s="369">
        <v>450</v>
      </c>
      <c r="U113" s="299">
        <f t="shared" si="9"/>
        <v>620</v>
      </c>
      <c r="V113" s="299">
        <f t="shared" si="10"/>
        <v>430</v>
      </c>
      <c r="W113" s="299">
        <f t="shared" si="11"/>
        <v>430</v>
      </c>
      <c r="X113" s="299">
        <f t="shared" si="12"/>
        <v>430</v>
      </c>
      <c r="Y113" s="299">
        <f t="shared" si="13"/>
        <v>430</v>
      </c>
      <c r="Z113" s="299">
        <f t="shared" si="14"/>
        <v>430</v>
      </c>
    </row>
    <row r="114" spans="1:26" ht="12" customHeight="1" hidden="1" thickBot="1">
      <c r="A114" s="20"/>
      <c r="B114" s="20"/>
      <c r="C114" s="20"/>
      <c r="D114" s="20"/>
      <c r="E114" s="20"/>
      <c r="F114" s="408">
        <v>0.4</v>
      </c>
      <c r="G114" s="406">
        <v>100</v>
      </c>
      <c r="H114" s="407">
        <v>110</v>
      </c>
      <c r="I114" s="407">
        <v>120</v>
      </c>
      <c r="J114" s="411">
        <f t="shared" si="15"/>
        <v>560</v>
      </c>
      <c r="K114" s="374">
        <v>0.7</v>
      </c>
      <c r="L114" s="377">
        <f t="shared" si="8"/>
        <v>415</v>
      </c>
      <c r="M114" s="275">
        <v>415</v>
      </c>
      <c r="N114" s="367">
        <v>285</v>
      </c>
      <c r="O114" s="289">
        <v>365</v>
      </c>
      <c r="P114" s="274">
        <v>230</v>
      </c>
      <c r="Q114" s="294">
        <v>190</v>
      </c>
      <c r="R114" s="370">
        <v>160</v>
      </c>
      <c r="S114" s="368">
        <v>595</v>
      </c>
      <c r="T114" s="369">
        <v>465</v>
      </c>
      <c r="U114" s="299">
        <f t="shared" si="9"/>
        <v>595</v>
      </c>
      <c r="V114" s="299">
        <f t="shared" si="10"/>
        <v>415</v>
      </c>
      <c r="W114" s="299">
        <f t="shared" si="11"/>
        <v>415</v>
      </c>
      <c r="X114" s="299">
        <f t="shared" si="12"/>
        <v>415</v>
      </c>
      <c r="Y114" s="299">
        <f t="shared" si="13"/>
        <v>415</v>
      </c>
      <c r="Z114" s="299">
        <f t="shared" si="14"/>
        <v>415</v>
      </c>
    </row>
    <row r="115" spans="1:26" ht="12" customHeight="1" hidden="1" thickBot="1">
      <c r="A115" s="20"/>
      <c r="B115" s="20"/>
      <c r="C115" s="20"/>
      <c r="D115" s="20"/>
      <c r="E115" s="20"/>
      <c r="F115" s="408">
        <v>0.5</v>
      </c>
      <c r="G115" s="406">
        <v>105</v>
      </c>
      <c r="H115" s="407">
        <v>115</v>
      </c>
      <c r="I115" s="407">
        <v>125</v>
      </c>
      <c r="J115" s="411">
        <f t="shared" si="15"/>
        <v>600</v>
      </c>
      <c r="K115" s="374">
        <v>0.8</v>
      </c>
      <c r="L115" s="377">
        <f t="shared" si="8"/>
        <v>500</v>
      </c>
      <c r="M115" s="275">
        <v>500</v>
      </c>
      <c r="N115" s="367">
        <v>345</v>
      </c>
      <c r="O115" s="273">
        <v>395</v>
      </c>
      <c r="P115" s="274">
        <v>340</v>
      </c>
      <c r="Q115" s="295">
        <v>280</v>
      </c>
      <c r="R115" s="371">
        <v>180</v>
      </c>
      <c r="S115" s="368">
        <v>630</v>
      </c>
      <c r="T115" s="369">
        <v>475</v>
      </c>
      <c r="U115" s="299">
        <f t="shared" si="9"/>
        <v>630</v>
      </c>
      <c r="V115" s="299">
        <f t="shared" si="10"/>
        <v>500</v>
      </c>
      <c r="W115" s="299">
        <f t="shared" si="11"/>
        <v>500</v>
      </c>
      <c r="X115" s="299">
        <f t="shared" si="12"/>
        <v>500</v>
      </c>
      <c r="Y115" s="299">
        <f t="shared" si="13"/>
        <v>500</v>
      </c>
      <c r="Z115" s="299">
        <f t="shared" si="14"/>
        <v>500</v>
      </c>
    </row>
    <row r="116" spans="1:26" ht="12" customHeight="1" hidden="1" thickBot="1">
      <c r="A116" s="20"/>
      <c r="B116" s="20"/>
      <c r="C116" s="20"/>
      <c r="D116" s="20"/>
      <c r="E116" s="20"/>
      <c r="F116" s="408">
        <v>0.6</v>
      </c>
      <c r="G116" s="406">
        <v>110</v>
      </c>
      <c r="H116" s="407">
        <v>125</v>
      </c>
      <c r="I116" s="407">
        <v>135</v>
      </c>
      <c r="J116" s="411">
        <f t="shared" si="15"/>
        <v>645</v>
      </c>
      <c r="K116" s="374">
        <v>1</v>
      </c>
      <c r="L116" s="377">
        <f t="shared" si="8"/>
        <v>620</v>
      </c>
      <c r="M116" s="275">
        <v>620</v>
      </c>
      <c r="N116" s="367">
        <v>435</v>
      </c>
      <c r="O116" s="273">
        <v>410</v>
      </c>
      <c r="P116" s="274">
        <v>330</v>
      </c>
      <c r="Q116" s="295">
        <v>310</v>
      </c>
      <c r="R116" s="371">
        <v>180</v>
      </c>
      <c r="S116" s="368">
        <v>675</v>
      </c>
      <c r="T116" s="369">
        <v>490</v>
      </c>
      <c r="U116" s="299">
        <f t="shared" si="9"/>
        <v>675</v>
      </c>
      <c r="V116" s="299">
        <f t="shared" si="10"/>
        <v>620</v>
      </c>
      <c r="W116" s="299">
        <f t="shared" si="11"/>
        <v>620</v>
      </c>
      <c r="X116" s="299">
        <f t="shared" si="12"/>
        <v>620</v>
      </c>
      <c r="Y116" s="299">
        <f t="shared" si="13"/>
        <v>620</v>
      </c>
      <c r="Z116" s="299">
        <f t="shared" si="14"/>
        <v>620</v>
      </c>
    </row>
    <row r="117" spans="1:26" ht="12" customHeight="1" hidden="1" thickBot="1">
      <c r="A117" s="20"/>
      <c r="B117" s="20"/>
      <c r="C117" s="20"/>
      <c r="D117" s="20"/>
      <c r="E117" s="20"/>
      <c r="F117" s="408">
        <v>0.7</v>
      </c>
      <c r="G117" s="406">
        <v>70</v>
      </c>
      <c r="H117" s="407">
        <v>80</v>
      </c>
      <c r="I117" s="407">
        <v>85</v>
      </c>
      <c r="J117" s="411">
        <f t="shared" si="15"/>
        <v>610</v>
      </c>
      <c r="K117" s="374">
        <v>1.1</v>
      </c>
      <c r="L117" s="377">
        <f t="shared" si="8"/>
        <v>695</v>
      </c>
      <c r="M117" s="275">
        <v>695</v>
      </c>
      <c r="N117" s="367">
        <v>495</v>
      </c>
      <c r="O117" s="273">
        <v>430</v>
      </c>
      <c r="P117" s="274">
        <v>330</v>
      </c>
      <c r="Q117" s="295">
        <v>320</v>
      </c>
      <c r="R117" s="371">
        <v>190</v>
      </c>
      <c r="S117" s="368">
        <v>705</v>
      </c>
      <c r="T117" s="369">
        <v>505</v>
      </c>
      <c r="U117" s="299">
        <f t="shared" si="9"/>
        <v>705</v>
      </c>
      <c r="V117" s="299">
        <f t="shared" si="10"/>
        <v>695</v>
      </c>
      <c r="W117" s="299">
        <f t="shared" si="11"/>
        <v>695</v>
      </c>
      <c r="X117" s="299">
        <f t="shared" si="12"/>
        <v>695</v>
      </c>
      <c r="Y117" s="299">
        <f t="shared" si="13"/>
        <v>695</v>
      </c>
      <c r="Z117" s="299">
        <f t="shared" si="14"/>
        <v>695</v>
      </c>
    </row>
    <row r="118" spans="1:26" ht="12" customHeight="1" hidden="1" thickBot="1">
      <c r="A118" s="20"/>
      <c r="B118" s="20"/>
      <c r="C118" s="20"/>
      <c r="D118" s="20"/>
      <c r="E118" s="20"/>
      <c r="F118" s="408">
        <v>0.8</v>
      </c>
      <c r="G118" s="406">
        <v>75</v>
      </c>
      <c r="H118" s="407">
        <v>85</v>
      </c>
      <c r="I118" s="407">
        <v>90</v>
      </c>
      <c r="J118" s="411">
        <f t="shared" si="15"/>
        <v>645</v>
      </c>
      <c r="K118" s="375">
        <v>1.2</v>
      </c>
      <c r="L118" s="378">
        <f t="shared" si="8"/>
        <v>715</v>
      </c>
      <c r="M118" s="275">
        <v>715</v>
      </c>
      <c r="N118" s="367">
        <v>510</v>
      </c>
      <c r="O118" s="273">
        <v>480</v>
      </c>
      <c r="P118" s="274">
        <v>335</v>
      </c>
      <c r="Q118" s="295">
        <v>330</v>
      </c>
      <c r="R118" s="371">
        <v>190</v>
      </c>
      <c r="S118" s="368">
        <v>715</v>
      </c>
      <c r="T118" s="369">
        <v>510</v>
      </c>
      <c r="U118" s="299">
        <f t="shared" si="9"/>
        <v>715</v>
      </c>
      <c r="V118" s="299">
        <f t="shared" si="10"/>
        <v>715</v>
      </c>
      <c r="W118" s="299">
        <f t="shared" si="11"/>
        <v>715</v>
      </c>
      <c r="X118" s="299">
        <f t="shared" si="12"/>
        <v>715</v>
      </c>
      <c r="Y118" s="299">
        <f t="shared" si="13"/>
        <v>715</v>
      </c>
      <c r="Z118" s="299">
        <f t="shared" si="14"/>
        <v>715</v>
      </c>
    </row>
    <row r="119" spans="1:24" ht="12" customHeight="1" hidden="1" thickBot="1">
      <c r="A119" s="20"/>
      <c r="B119" s="20"/>
      <c r="C119" s="20"/>
      <c r="D119" s="20"/>
      <c r="E119" s="20"/>
      <c r="F119" s="409" t="s">
        <v>553</v>
      </c>
      <c r="G119" s="406">
        <v>85</v>
      </c>
      <c r="H119" s="407">
        <v>95</v>
      </c>
      <c r="I119" s="407">
        <v>100</v>
      </c>
      <c r="J119" s="411">
        <f t="shared" si="15"/>
        <v>690</v>
      </c>
      <c r="W119" s="21"/>
      <c r="X119" s="21"/>
    </row>
    <row r="120" spans="1:24" ht="27" customHeight="1" hidden="1" thickBot="1">
      <c r="A120" s="20"/>
      <c r="B120" s="20"/>
      <c r="C120" s="20"/>
      <c r="D120" s="20"/>
      <c r="E120" s="20"/>
      <c r="F120" s="408">
        <v>1</v>
      </c>
      <c r="G120" s="406">
        <v>90</v>
      </c>
      <c r="H120" s="407">
        <v>100</v>
      </c>
      <c r="I120" s="407">
        <v>105</v>
      </c>
      <c r="J120" s="411">
        <f t="shared" si="15"/>
        <v>720</v>
      </c>
      <c r="N120" s="405" t="s">
        <v>551</v>
      </c>
      <c r="W120" s="21"/>
      <c r="X120" s="21"/>
    </row>
    <row r="121" spans="1:26" ht="12" customHeight="1" hidden="1" thickBot="1" thickTop="1">
      <c r="A121" s="20"/>
      <c r="B121" s="20"/>
      <c r="C121" s="20"/>
      <c r="D121" s="20"/>
      <c r="E121" s="20"/>
      <c r="F121" s="408">
        <v>1.1</v>
      </c>
      <c r="G121" s="406">
        <v>95</v>
      </c>
      <c r="H121" s="407">
        <v>105</v>
      </c>
      <c r="I121" s="407">
        <v>110</v>
      </c>
      <c r="J121" s="411">
        <f t="shared" si="15"/>
        <v>730</v>
      </c>
      <c r="L121" s="376" t="s">
        <v>524</v>
      </c>
      <c r="M121" s="3" t="s">
        <v>519</v>
      </c>
      <c r="N121" s="3" t="s">
        <v>520</v>
      </c>
      <c r="O121" s="272" t="s">
        <v>485</v>
      </c>
      <c r="P121" s="272" t="s">
        <v>486</v>
      </c>
      <c r="Q121" s="272" t="s">
        <v>488</v>
      </c>
      <c r="R121" s="272" t="s">
        <v>487</v>
      </c>
      <c r="S121" s="272" t="s">
        <v>521</v>
      </c>
      <c r="T121" s="272" t="s">
        <v>522</v>
      </c>
      <c r="U121" s="292" t="s">
        <v>523</v>
      </c>
      <c r="V121" s="292">
        <v>1</v>
      </c>
      <c r="W121" s="292">
        <v>2</v>
      </c>
      <c r="X121" s="292">
        <v>3</v>
      </c>
      <c r="Y121" s="292">
        <v>4</v>
      </c>
      <c r="Z121" s="292">
        <v>5</v>
      </c>
    </row>
    <row r="122" spans="1:26" ht="12" customHeight="1" hidden="1" thickBot="1">
      <c r="A122" s="20"/>
      <c r="B122" s="20"/>
      <c r="C122" s="20"/>
      <c r="D122" s="20"/>
      <c r="E122" s="20"/>
      <c r="F122" s="408">
        <v>1.2</v>
      </c>
      <c r="J122" s="90"/>
      <c r="K122" s="372">
        <v>0</v>
      </c>
      <c r="L122" s="377">
        <f aca="true" t="shared" si="16" ref="L122:L133">IF(puntosproljor&lt;620,Z122,U122)</f>
        <v>170</v>
      </c>
      <c r="M122" s="275">
        <v>170</v>
      </c>
      <c r="N122" s="366">
        <v>80</v>
      </c>
      <c r="O122" s="288">
        <v>0</v>
      </c>
      <c r="P122" s="290">
        <v>0</v>
      </c>
      <c r="Q122" s="293">
        <v>0</v>
      </c>
      <c r="R122" s="370">
        <v>0</v>
      </c>
      <c r="S122" s="368">
        <v>170</v>
      </c>
      <c r="T122" s="369">
        <v>80</v>
      </c>
      <c r="U122" s="299">
        <f aca="true" t="shared" si="17" ref="U122:U133">IF(PUNTOSbasicos&gt;971,T122,S122)</f>
        <v>170</v>
      </c>
      <c r="V122" s="299">
        <f aca="true" t="shared" si="18" ref="V122:V133">IF(PUNTOSbasicos&lt;972,M122,N122)</f>
        <v>170</v>
      </c>
      <c r="W122" s="299">
        <f aca="true" t="shared" si="19" ref="W122:W133">IF(PUNTOSbasicos&lt;1170,V122,O122)</f>
        <v>170</v>
      </c>
      <c r="X122" s="299">
        <f aca="true" t="shared" si="20" ref="X122:X133">IF(PUNTOSbasicos&lt;1401,W122,P122)</f>
        <v>170</v>
      </c>
      <c r="Y122" s="299">
        <f aca="true" t="shared" si="21" ref="Y122:Y133">IF(PUNTOSbasicos&lt;1943,X122,Q122)</f>
        <v>170</v>
      </c>
      <c r="Z122" s="299">
        <f aca="true" t="shared" si="22" ref="Z122:Z133">IF(PUNTOSbasicos&lt;=2220,Y122,R122)</f>
        <v>170</v>
      </c>
    </row>
    <row r="123" spans="1:26" ht="12" customHeight="1" hidden="1" thickBot="1">
      <c r="A123" s="20"/>
      <c r="B123" s="20"/>
      <c r="C123" s="20"/>
      <c r="D123" s="20"/>
      <c r="E123" s="20"/>
      <c r="F123" s="19"/>
      <c r="I123" s="27"/>
      <c r="J123" s="90"/>
      <c r="K123" s="373">
        <v>0.1</v>
      </c>
      <c r="L123" s="377">
        <f t="shared" si="16"/>
        <v>185</v>
      </c>
      <c r="M123" s="275">
        <v>185</v>
      </c>
      <c r="N123" s="367">
        <v>90</v>
      </c>
      <c r="O123" s="288">
        <v>0</v>
      </c>
      <c r="P123" s="290">
        <v>0</v>
      </c>
      <c r="Q123" s="293">
        <v>0</v>
      </c>
      <c r="R123" s="370">
        <v>0</v>
      </c>
      <c r="S123" s="368">
        <v>185</v>
      </c>
      <c r="T123" s="369">
        <v>90</v>
      </c>
      <c r="U123" s="299">
        <f t="shared" si="17"/>
        <v>185</v>
      </c>
      <c r="V123" s="299">
        <f t="shared" si="18"/>
        <v>185</v>
      </c>
      <c r="W123" s="299">
        <f t="shared" si="19"/>
        <v>185</v>
      </c>
      <c r="X123" s="299">
        <f t="shared" si="20"/>
        <v>185</v>
      </c>
      <c r="Y123" s="299">
        <f t="shared" si="21"/>
        <v>185</v>
      </c>
      <c r="Z123" s="299">
        <f t="shared" si="22"/>
        <v>185</v>
      </c>
    </row>
    <row r="124" spans="1:26" ht="12" customHeight="1" hidden="1" thickBot="1">
      <c r="A124" s="20"/>
      <c r="B124" s="20"/>
      <c r="C124" s="20"/>
      <c r="D124" s="20"/>
      <c r="E124" s="20"/>
      <c r="F124" s="19"/>
      <c r="I124" s="27"/>
      <c r="J124" s="90"/>
      <c r="K124" s="374">
        <v>0.15</v>
      </c>
      <c r="L124" s="377">
        <f t="shared" si="16"/>
        <v>280</v>
      </c>
      <c r="M124" s="275">
        <v>280</v>
      </c>
      <c r="N124" s="367">
        <v>180</v>
      </c>
      <c r="O124" s="289">
        <v>240</v>
      </c>
      <c r="P124" s="291">
        <v>193</v>
      </c>
      <c r="Q124" s="294">
        <v>180</v>
      </c>
      <c r="R124" s="370">
        <v>0</v>
      </c>
      <c r="S124" s="368">
        <v>320</v>
      </c>
      <c r="T124" s="369">
        <v>220</v>
      </c>
      <c r="U124" s="299">
        <f t="shared" si="17"/>
        <v>320</v>
      </c>
      <c r="V124" s="299">
        <f t="shared" si="18"/>
        <v>280</v>
      </c>
      <c r="W124" s="299">
        <f t="shared" si="19"/>
        <v>280</v>
      </c>
      <c r="X124" s="299">
        <f t="shared" si="20"/>
        <v>280</v>
      </c>
      <c r="Y124" s="299">
        <f t="shared" si="21"/>
        <v>280</v>
      </c>
      <c r="Z124" s="299">
        <f t="shared" si="22"/>
        <v>280</v>
      </c>
    </row>
    <row r="125" spans="1:26" ht="12" customHeight="1" hidden="1" thickBot="1">
      <c r="A125" s="20"/>
      <c r="B125" s="20"/>
      <c r="C125" s="20"/>
      <c r="D125" s="20"/>
      <c r="E125" s="20"/>
      <c r="F125" s="19"/>
      <c r="I125" s="27"/>
      <c r="J125" s="90"/>
      <c r="K125" s="374">
        <v>0.3</v>
      </c>
      <c r="L125" s="377">
        <f t="shared" si="16"/>
        <v>330</v>
      </c>
      <c r="M125" s="275">
        <v>330</v>
      </c>
      <c r="N125" s="367">
        <v>195</v>
      </c>
      <c r="O125" s="289">
        <v>240</v>
      </c>
      <c r="P125" s="291">
        <v>193</v>
      </c>
      <c r="Q125" s="294">
        <v>180</v>
      </c>
      <c r="R125" s="370">
        <v>0</v>
      </c>
      <c r="S125" s="368">
        <v>485</v>
      </c>
      <c r="T125" s="369">
        <v>350</v>
      </c>
      <c r="U125" s="299">
        <f t="shared" si="17"/>
        <v>485</v>
      </c>
      <c r="V125" s="299">
        <f t="shared" si="18"/>
        <v>330</v>
      </c>
      <c r="W125" s="299">
        <f t="shared" si="19"/>
        <v>330</v>
      </c>
      <c r="X125" s="299">
        <f t="shared" si="20"/>
        <v>330</v>
      </c>
      <c r="Y125" s="299">
        <f t="shared" si="21"/>
        <v>330</v>
      </c>
      <c r="Z125" s="299">
        <f t="shared" si="22"/>
        <v>330</v>
      </c>
    </row>
    <row r="126" spans="1:26" ht="12" customHeight="1" hidden="1" thickBot="1">
      <c r="A126" s="20"/>
      <c r="B126" s="20"/>
      <c r="C126" s="20"/>
      <c r="D126" s="20"/>
      <c r="E126" s="20"/>
      <c r="F126" s="19"/>
      <c r="I126" s="27"/>
      <c r="J126" s="90"/>
      <c r="K126" s="374">
        <v>0.4</v>
      </c>
      <c r="L126" s="377">
        <f t="shared" si="16"/>
        <v>360</v>
      </c>
      <c r="M126" s="275">
        <v>360</v>
      </c>
      <c r="N126" s="367">
        <v>210</v>
      </c>
      <c r="O126" s="289">
        <v>250</v>
      </c>
      <c r="P126" s="291">
        <v>200</v>
      </c>
      <c r="Q126" s="294">
        <v>180</v>
      </c>
      <c r="R126" s="370">
        <v>140</v>
      </c>
      <c r="S126" s="368">
        <v>550</v>
      </c>
      <c r="T126" s="369">
        <v>400</v>
      </c>
      <c r="U126" s="299">
        <f t="shared" si="17"/>
        <v>550</v>
      </c>
      <c r="V126" s="299">
        <f t="shared" si="18"/>
        <v>360</v>
      </c>
      <c r="W126" s="299">
        <f t="shared" si="19"/>
        <v>360</v>
      </c>
      <c r="X126" s="299">
        <f t="shared" si="20"/>
        <v>360</v>
      </c>
      <c r="Y126" s="299">
        <f t="shared" si="21"/>
        <v>360</v>
      </c>
      <c r="Z126" s="299">
        <f t="shared" si="22"/>
        <v>360</v>
      </c>
    </row>
    <row r="127" spans="1:26" ht="12" customHeight="1" hidden="1" thickBot="1">
      <c r="A127" s="20"/>
      <c r="B127" s="20"/>
      <c r="C127" s="20"/>
      <c r="D127" s="20"/>
      <c r="E127" s="20"/>
      <c r="F127" s="19"/>
      <c r="I127" s="27"/>
      <c r="J127" s="90"/>
      <c r="K127" s="374">
        <v>0.5</v>
      </c>
      <c r="L127" s="377">
        <f t="shared" si="16"/>
        <v>385</v>
      </c>
      <c r="M127" s="275">
        <v>385</v>
      </c>
      <c r="N127" s="367">
        <v>230</v>
      </c>
      <c r="O127" s="289">
        <v>250</v>
      </c>
      <c r="P127" s="274">
        <v>200</v>
      </c>
      <c r="Q127" s="294">
        <v>180</v>
      </c>
      <c r="R127" s="370">
        <v>140</v>
      </c>
      <c r="S127" s="368">
        <v>590</v>
      </c>
      <c r="T127" s="369">
        <v>435</v>
      </c>
      <c r="U127" s="299">
        <f t="shared" si="17"/>
        <v>590</v>
      </c>
      <c r="V127" s="299">
        <f t="shared" si="18"/>
        <v>385</v>
      </c>
      <c r="W127" s="299">
        <f t="shared" si="19"/>
        <v>385</v>
      </c>
      <c r="X127" s="299">
        <f t="shared" si="20"/>
        <v>385</v>
      </c>
      <c r="Y127" s="299">
        <f t="shared" si="21"/>
        <v>385</v>
      </c>
      <c r="Z127" s="299">
        <f t="shared" si="22"/>
        <v>385</v>
      </c>
    </row>
    <row r="128" spans="1:26" ht="12" customHeight="1" hidden="1" thickBot="1">
      <c r="A128" s="20"/>
      <c r="B128" s="20"/>
      <c r="C128" s="20"/>
      <c r="D128" s="20"/>
      <c r="E128" s="20"/>
      <c r="F128" s="19"/>
      <c r="I128" s="27"/>
      <c r="J128" s="90"/>
      <c r="K128" s="374">
        <v>0.6</v>
      </c>
      <c r="L128" s="377">
        <f t="shared" si="16"/>
        <v>445</v>
      </c>
      <c r="M128" s="275">
        <v>445</v>
      </c>
      <c r="N128" s="367">
        <v>260</v>
      </c>
      <c r="O128" s="289">
        <v>260</v>
      </c>
      <c r="P128" s="274">
        <v>203</v>
      </c>
      <c r="Q128" s="294">
        <v>190</v>
      </c>
      <c r="R128" s="370">
        <v>160</v>
      </c>
      <c r="S128" s="368">
        <v>635</v>
      </c>
      <c r="T128" s="369">
        <v>450</v>
      </c>
      <c r="U128" s="299">
        <f t="shared" si="17"/>
        <v>635</v>
      </c>
      <c r="V128" s="299">
        <f t="shared" si="18"/>
        <v>445</v>
      </c>
      <c r="W128" s="299">
        <f t="shared" si="19"/>
        <v>445</v>
      </c>
      <c r="X128" s="299">
        <f t="shared" si="20"/>
        <v>445</v>
      </c>
      <c r="Y128" s="299">
        <f t="shared" si="21"/>
        <v>445</v>
      </c>
      <c r="Z128" s="299">
        <f t="shared" si="22"/>
        <v>445</v>
      </c>
    </row>
    <row r="129" spans="1:26" ht="12" customHeight="1" hidden="1" thickBot="1">
      <c r="A129" s="20"/>
      <c r="B129" s="20"/>
      <c r="C129" s="20"/>
      <c r="D129" s="20"/>
      <c r="E129" s="20"/>
      <c r="F129" s="19"/>
      <c r="I129" s="27"/>
      <c r="J129" s="90"/>
      <c r="K129" s="374">
        <v>0.7</v>
      </c>
      <c r="L129" s="377">
        <f t="shared" si="16"/>
        <v>425</v>
      </c>
      <c r="M129" s="275">
        <v>425</v>
      </c>
      <c r="N129" s="367">
        <v>285</v>
      </c>
      <c r="O129" s="289">
        <v>365</v>
      </c>
      <c r="P129" s="274">
        <v>230</v>
      </c>
      <c r="Q129" s="294">
        <v>190</v>
      </c>
      <c r="R129" s="370">
        <v>160</v>
      </c>
      <c r="S129" s="368">
        <v>605</v>
      </c>
      <c r="T129" s="369">
        <v>465</v>
      </c>
      <c r="U129" s="299">
        <f t="shared" si="17"/>
        <v>605</v>
      </c>
      <c r="V129" s="299">
        <f t="shared" si="18"/>
        <v>425</v>
      </c>
      <c r="W129" s="299">
        <f t="shared" si="19"/>
        <v>425</v>
      </c>
      <c r="X129" s="299">
        <f t="shared" si="20"/>
        <v>425</v>
      </c>
      <c r="Y129" s="299">
        <f t="shared" si="21"/>
        <v>425</v>
      </c>
      <c r="Z129" s="299">
        <f t="shared" si="22"/>
        <v>425</v>
      </c>
    </row>
    <row r="130" spans="1:26" ht="12" customHeight="1" hidden="1" thickBot="1">
      <c r="A130" s="20"/>
      <c r="B130" s="20"/>
      <c r="C130" s="20"/>
      <c r="D130" s="20"/>
      <c r="E130" s="20"/>
      <c r="F130" s="19"/>
      <c r="I130" s="27"/>
      <c r="J130" s="90"/>
      <c r="K130" s="374">
        <v>0.8</v>
      </c>
      <c r="L130" s="377">
        <f t="shared" si="16"/>
        <v>510</v>
      </c>
      <c r="M130" s="275">
        <v>510</v>
      </c>
      <c r="N130" s="367">
        <v>345</v>
      </c>
      <c r="O130" s="273">
        <v>395</v>
      </c>
      <c r="P130" s="274">
        <v>340</v>
      </c>
      <c r="Q130" s="295">
        <v>280</v>
      </c>
      <c r="R130" s="371">
        <v>180</v>
      </c>
      <c r="S130" s="368">
        <v>640</v>
      </c>
      <c r="T130" s="369">
        <v>475</v>
      </c>
      <c r="U130" s="299">
        <f t="shared" si="17"/>
        <v>640</v>
      </c>
      <c r="V130" s="299">
        <f t="shared" si="18"/>
        <v>510</v>
      </c>
      <c r="W130" s="299">
        <f t="shared" si="19"/>
        <v>510</v>
      </c>
      <c r="X130" s="299">
        <f t="shared" si="20"/>
        <v>510</v>
      </c>
      <c r="Y130" s="299">
        <f t="shared" si="21"/>
        <v>510</v>
      </c>
      <c r="Z130" s="299">
        <f t="shared" si="22"/>
        <v>510</v>
      </c>
    </row>
    <row r="131" spans="1:26" ht="12" customHeight="1" hidden="1" thickBot="1">
      <c r="A131" s="20"/>
      <c r="B131" s="20"/>
      <c r="C131" s="20"/>
      <c r="D131" s="20"/>
      <c r="E131" s="20"/>
      <c r="F131" s="19"/>
      <c r="I131" s="27"/>
      <c r="J131" s="90"/>
      <c r="K131" s="374">
        <v>1</v>
      </c>
      <c r="L131" s="377">
        <f t="shared" si="16"/>
        <v>630</v>
      </c>
      <c r="M131" s="275">
        <v>630</v>
      </c>
      <c r="N131" s="367">
        <v>435</v>
      </c>
      <c r="O131" s="273">
        <v>410</v>
      </c>
      <c r="P131" s="274">
        <v>330</v>
      </c>
      <c r="Q131" s="295">
        <v>310</v>
      </c>
      <c r="R131" s="371">
        <v>180</v>
      </c>
      <c r="S131" s="368">
        <v>685</v>
      </c>
      <c r="T131" s="369">
        <v>490</v>
      </c>
      <c r="U131" s="299">
        <f t="shared" si="17"/>
        <v>685</v>
      </c>
      <c r="V131" s="299">
        <f t="shared" si="18"/>
        <v>630</v>
      </c>
      <c r="W131" s="299">
        <f t="shared" si="19"/>
        <v>630</v>
      </c>
      <c r="X131" s="299">
        <f t="shared" si="20"/>
        <v>630</v>
      </c>
      <c r="Y131" s="299">
        <f t="shared" si="21"/>
        <v>630</v>
      </c>
      <c r="Z131" s="299">
        <f t="shared" si="22"/>
        <v>630</v>
      </c>
    </row>
    <row r="132" spans="1:26" ht="12" customHeight="1" hidden="1" thickBot="1">
      <c r="A132" s="20"/>
      <c r="B132" s="20"/>
      <c r="C132" s="20"/>
      <c r="D132" s="20"/>
      <c r="E132" s="20"/>
      <c r="F132" s="19"/>
      <c r="I132" s="27"/>
      <c r="J132" s="90"/>
      <c r="K132" s="374">
        <v>1.1</v>
      </c>
      <c r="L132" s="377">
        <f t="shared" si="16"/>
        <v>705</v>
      </c>
      <c r="M132" s="275">
        <v>705</v>
      </c>
      <c r="N132" s="367">
        <v>495</v>
      </c>
      <c r="O132" s="273">
        <v>430</v>
      </c>
      <c r="P132" s="274">
        <v>330</v>
      </c>
      <c r="Q132" s="295">
        <v>320</v>
      </c>
      <c r="R132" s="371">
        <v>190</v>
      </c>
      <c r="S132" s="368">
        <v>715</v>
      </c>
      <c r="T132" s="369">
        <v>505</v>
      </c>
      <c r="U132" s="299">
        <f t="shared" si="17"/>
        <v>715</v>
      </c>
      <c r="V132" s="299">
        <f t="shared" si="18"/>
        <v>705</v>
      </c>
      <c r="W132" s="299">
        <f t="shared" si="19"/>
        <v>705</v>
      </c>
      <c r="X132" s="299">
        <f t="shared" si="20"/>
        <v>705</v>
      </c>
      <c r="Y132" s="299">
        <f t="shared" si="21"/>
        <v>705</v>
      </c>
      <c r="Z132" s="299">
        <f t="shared" si="22"/>
        <v>705</v>
      </c>
    </row>
    <row r="133" spans="1:26" ht="12" customHeight="1" hidden="1" thickBot="1">
      <c r="A133" s="20"/>
      <c r="B133" s="20"/>
      <c r="C133" s="20"/>
      <c r="D133" s="20"/>
      <c r="E133" s="20"/>
      <c r="F133" s="19"/>
      <c r="I133" s="27"/>
      <c r="J133" s="90"/>
      <c r="K133" s="375">
        <v>1.2</v>
      </c>
      <c r="L133" s="378">
        <f t="shared" si="16"/>
        <v>725</v>
      </c>
      <c r="M133" s="275">
        <v>725</v>
      </c>
      <c r="N133" s="367">
        <v>510</v>
      </c>
      <c r="O133" s="273">
        <v>480</v>
      </c>
      <c r="P133" s="274">
        <v>335</v>
      </c>
      <c r="Q133" s="295">
        <v>330</v>
      </c>
      <c r="R133" s="371">
        <v>190</v>
      </c>
      <c r="S133" s="368">
        <v>725</v>
      </c>
      <c r="T133" s="369">
        <v>510</v>
      </c>
      <c r="U133" s="299">
        <f t="shared" si="17"/>
        <v>725</v>
      </c>
      <c r="V133" s="299">
        <f t="shared" si="18"/>
        <v>725</v>
      </c>
      <c r="W133" s="299">
        <f t="shared" si="19"/>
        <v>725</v>
      </c>
      <c r="X133" s="299">
        <f t="shared" si="20"/>
        <v>725</v>
      </c>
      <c r="Y133" s="299">
        <f t="shared" si="21"/>
        <v>725</v>
      </c>
      <c r="Z133" s="299">
        <f t="shared" si="22"/>
        <v>725</v>
      </c>
    </row>
    <row r="134" spans="1:24" ht="12" customHeight="1" hidden="1">
      <c r="A134" s="20"/>
      <c r="B134" s="20"/>
      <c r="C134" s="20"/>
      <c r="D134" s="20"/>
      <c r="E134" s="20"/>
      <c r="F134" s="19"/>
      <c r="I134" s="27"/>
      <c r="J134" s="90"/>
      <c r="W134" s="21"/>
      <c r="X134" s="21"/>
    </row>
    <row r="135" spans="1:24" ht="25.5" customHeight="1" hidden="1" thickBot="1">
      <c r="A135" s="20"/>
      <c r="B135" s="20"/>
      <c r="C135" s="20"/>
      <c r="D135" s="20"/>
      <c r="E135" s="20"/>
      <c r="F135" s="19"/>
      <c r="I135" s="27"/>
      <c r="J135" s="90"/>
      <c r="N135" s="405" t="s">
        <v>552</v>
      </c>
      <c r="W135" s="21"/>
      <c r="X135" s="21"/>
    </row>
    <row r="136" spans="1:26" ht="12" customHeight="1" hidden="1" thickBot="1" thickTop="1">
      <c r="A136" s="20"/>
      <c r="B136" s="20"/>
      <c r="C136" s="20"/>
      <c r="D136" s="20"/>
      <c r="E136" s="20"/>
      <c r="F136" s="19"/>
      <c r="I136" s="27"/>
      <c r="J136" s="90"/>
      <c r="L136" s="376" t="s">
        <v>524</v>
      </c>
      <c r="M136" s="3" t="s">
        <v>519</v>
      </c>
      <c r="N136" s="3" t="s">
        <v>520</v>
      </c>
      <c r="O136" s="272" t="s">
        <v>485</v>
      </c>
      <c r="P136" s="272" t="s">
        <v>486</v>
      </c>
      <c r="Q136" s="272" t="s">
        <v>488</v>
      </c>
      <c r="R136" s="272" t="s">
        <v>487</v>
      </c>
      <c r="S136" s="272" t="s">
        <v>521</v>
      </c>
      <c r="T136" s="272" t="s">
        <v>522</v>
      </c>
      <c r="U136" s="292" t="s">
        <v>523</v>
      </c>
      <c r="V136" s="292">
        <v>1</v>
      </c>
      <c r="W136" s="292">
        <v>2</v>
      </c>
      <c r="X136" s="292">
        <v>3</v>
      </c>
      <c r="Y136" s="292">
        <v>4</v>
      </c>
      <c r="Z136" s="292">
        <v>5</v>
      </c>
    </row>
    <row r="137" spans="1:26" ht="12" customHeight="1" hidden="1" thickBot="1">
      <c r="A137" s="20"/>
      <c r="B137" s="20"/>
      <c r="C137" s="20"/>
      <c r="D137" s="20"/>
      <c r="E137" s="20"/>
      <c r="F137" s="19"/>
      <c r="I137" s="27"/>
      <c r="J137" s="90"/>
      <c r="K137" s="372">
        <v>0</v>
      </c>
      <c r="L137" s="377">
        <f aca="true" t="shared" si="23" ref="L137:L148">IF(puntosproljor&lt;620,Z137,U137)</f>
        <v>180</v>
      </c>
      <c r="M137" s="275">
        <v>180</v>
      </c>
      <c r="N137" s="366">
        <v>80</v>
      </c>
      <c r="O137" s="288">
        <v>0</v>
      </c>
      <c r="P137" s="290">
        <v>0</v>
      </c>
      <c r="Q137" s="293">
        <v>0</v>
      </c>
      <c r="R137" s="370">
        <v>0</v>
      </c>
      <c r="S137" s="368">
        <v>180</v>
      </c>
      <c r="T137" s="369">
        <v>80</v>
      </c>
      <c r="U137" s="299">
        <f aca="true" t="shared" si="24" ref="U137:U148">IF(PUNTOSbasicos&gt;971,T137,S137)</f>
        <v>180</v>
      </c>
      <c r="V137" s="299">
        <f aca="true" t="shared" si="25" ref="V137:V148">IF(PUNTOSbasicos&lt;972,M137,N137)</f>
        <v>180</v>
      </c>
      <c r="W137" s="299">
        <f aca="true" t="shared" si="26" ref="W137:W148">IF(PUNTOSbasicos&lt;1170,V137,O137)</f>
        <v>180</v>
      </c>
      <c r="X137" s="299">
        <f aca="true" t="shared" si="27" ref="X137:X148">IF(PUNTOSbasicos&lt;1401,W137,P137)</f>
        <v>180</v>
      </c>
      <c r="Y137" s="299">
        <f aca="true" t="shared" si="28" ref="Y137:Y148">IF(PUNTOSbasicos&lt;1943,X137,Q137)</f>
        <v>180</v>
      </c>
      <c r="Z137" s="299">
        <f aca="true" t="shared" si="29" ref="Z137:Z148">IF(PUNTOSbasicos&lt;=2220,Y137,R137)</f>
        <v>180</v>
      </c>
    </row>
    <row r="138" spans="1:26" ht="12" customHeight="1" hidden="1" thickBot="1">
      <c r="A138" s="20"/>
      <c r="B138" s="20"/>
      <c r="C138" s="20"/>
      <c r="D138" s="20"/>
      <c r="E138" s="20"/>
      <c r="F138" s="19"/>
      <c r="I138" s="27"/>
      <c r="J138" s="90"/>
      <c r="K138" s="373">
        <v>0.1</v>
      </c>
      <c r="L138" s="377">
        <f t="shared" si="23"/>
        <v>195</v>
      </c>
      <c r="M138" s="275">
        <v>195</v>
      </c>
      <c r="N138" s="367">
        <v>90</v>
      </c>
      <c r="O138" s="288">
        <v>0</v>
      </c>
      <c r="P138" s="290">
        <v>0</v>
      </c>
      <c r="Q138" s="293">
        <v>0</v>
      </c>
      <c r="R138" s="370">
        <v>0</v>
      </c>
      <c r="S138" s="368">
        <v>195</v>
      </c>
      <c r="T138" s="369">
        <v>90</v>
      </c>
      <c r="U138" s="299">
        <f t="shared" si="24"/>
        <v>195</v>
      </c>
      <c r="V138" s="299">
        <f t="shared" si="25"/>
        <v>195</v>
      </c>
      <c r="W138" s="299">
        <f t="shared" si="26"/>
        <v>195</v>
      </c>
      <c r="X138" s="299">
        <f t="shared" si="27"/>
        <v>195</v>
      </c>
      <c r="Y138" s="299">
        <f t="shared" si="28"/>
        <v>195</v>
      </c>
      <c r="Z138" s="299">
        <f t="shared" si="29"/>
        <v>195</v>
      </c>
    </row>
    <row r="139" spans="1:26" ht="12" customHeight="1" hidden="1" thickBot="1">
      <c r="A139" s="20"/>
      <c r="B139" s="20"/>
      <c r="C139" s="20"/>
      <c r="D139" s="20"/>
      <c r="E139" s="20"/>
      <c r="F139" s="19"/>
      <c r="I139" s="27"/>
      <c r="J139" s="90"/>
      <c r="K139" s="374">
        <v>0.15</v>
      </c>
      <c r="L139" s="377">
        <f t="shared" si="23"/>
        <v>290</v>
      </c>
      <c r="M139" s="275">
        <v>290</v>
      </c>
      <c r="N139" s="367">
        <v>180</v>
      </c>
      <c r="O139" s="289">
        <v>240</v>
      </c>
      <c r="P139" s="291">
        <v>193</v>
      </c>
      <c r="Q139" s="294">
        <v>180</v>
      </c>
      <c r="R139" s="370">
        <v>0</v>
      </c>
      <c r="S139" s="368">
        <v>330</v>
      </c>
      <c r="T139" s="369">
        <v>220</v>
      </c>
      <c r="U139" s="299">
        <f t="shared" si="24"/>
        <v>330</v>
      </c>
      <c r="V139" s="299">
        <f t="shared" si="25"/>
        <v>290</v>
      </c>
      <c r="W139" s="299">
        <f t="shared" si="26"/>
        <v>290</v>
      </c>
      <c r="X139" s="299">
        <f t="shared" si="27"/>
        <v>290</v>
      </c>
      <c r="Y139" s="299">
        <f t="shared" si="28"/>
        <v>290</v>
      </c>
      <c r="Z139" s="299">
        <f t="shared" si="29"/>
        <v>290</v>
      </c>
    </row>
    <row r="140" spans="1:26" ht="12" customHeight="1" hidden="1" thickBot="1">
      <c r="A140" s="20"/>
      <c r="B140" s="20"/>
      <c r="C140" s="20"/>
      <c r="D140" s="20"/>
      <c r="E140" s="20"/>
      <c r="F140" s="19"/>
      <c r="I140" s="27"/>
      <c r="J140" s="90"/>
      <c r="K140" s="374">
        <v>0.3</v>
      </c>
      <c r="L140" s="377">
        <f t="shared" si="23"/>
        <v>340</v>
      </c>
      <c r="M140" s="275">
        <v>340</v>
      </c>
      <c r="N140" s="367">
        <v>195</v>
      </c>
      <c r="O140" s="289">
        <v>240</v>
      </c>
      <c r="P140" s="291">
        <v>193</v>
      </c>
      <c r="Q140" s="294">
        <v>180</v>
      </c>
      <c r="R140" s="370">
        <v>0</v>
      </c>
      <c r="S140" s="368">
        <v>495</v>
      </c>
      <c r="T140" s="369">
        <v>350</v>
      </c>
      <c r="U140" s="299">
        <f t="shared" si="24"/>
        <v>495</v>
      </c>
      <c r="V140" s="299">
        <f t="shared" si="25"/>
        <v>340</v>
      </c>
      <c r="W140" s="299">
        <f t="shared" si="26"/>
        <v>340</v>
      </c>
      <c r="X140" s="299">
        <f t="shared" si="27"/>
        <v>340</v>
      </c>
      <c r="Y140" s="299">
        <f t="shared" si="28"/>
        <v>340</v>
      </c>
      <c r="Z140" s="299">
        <f t="shared" si="29"/>
        <v>340</v>
      </c>
    </row>
    <row r="141" spans="1:26" ht="12" customHeight="1" hidden="1" thickBot="1">
      <c r="A141" s="20"/>
      <c r="B141" s="20"/>
      <c r="C141" s="20"/>
      <c r="D141" s="20"/>
      <c r="E141" s="20"/>
      <c r="F141" s="19"/>
      <c r="I141" s="27"/>
      <c r="J141" s="90"/>
      <c r="K141" s="374">
        <v>0.4</v>
      </c>
      <c r="L141" s="377">
        <f t="shared" si="23"/>
        <v>370</v>
      </c>
      <c r="M141" s="275">
        <v>370</v>
      </c>
      <c r="N141" s="367">
        <v>210</v>
      </c>
      <c r="O141" s="289">
        <v>250</v>
      </c>
      <c r="P141" s="291">
        <v>200</v>
      </c>
      <c r="Q141" s="294">
        <v>180</v>
      </c>
      <c r="R141" s="370">
        <v>140</v>
      </c>
      <c r="S141" s="368">
        <v>560</v>
      </c>
      <c r="T141" s="369">
        <v>400</v>
      </c>
      <c r="U141" s="299">
        <f t="shared" si="24"/>
        <v>560</v>
      </c>
      <c r="V141" s="299">
        <f t="shared" si="25"/>
        <v>370</v>
      </c>
      <c r="W141" s="299">
        <f t="shared" si="26"/>
        <v>370</v>
      </c>
      <c r="X141" s="299">
        <f t="shared" si="27"/>
        <v>370</v>
      </c>
      <c r="Y141" s="299">
        <f t="shared" si="28"/>
        <v>370</v>
      </c>
      <c r="Z141" s="299">
        <f t="shared" si="29"/>
        <v>370</v>
      </c>
    </row>
    <row r="142" spans="1:26" ht="12" customHeight="1" hidden="1" thickBot="1">
      <c r="A142" s="20"/>
      <c r="B142" s="20"/>
      <c r="C142" s="20"/>
      <c r="D142" s="20"/>
      <c r="E142" s="20"/>
      <c r="F142" s="19"/>
      <c r="I142" s="27"/>
      <c r="J142" s="90"/>
      <c r="K142" s="374">
        <v>0.5</v>
      </c>
      <c r="L142" s="377">
        <f t="shared" si="23"/>
        <v>395</v>
      </c>
      <c r="M142" s="275">
        <v>395</v>
      </c>
      <c r="N142" s="367">
        <v>230</v>
      </c>
      <c r="O142" s="289">
        <v>250</v>
      </c>
      <c r="P142" s="274">
        <v>200</v>
      </c>
      <c r="Q142" s="294">
        <v>180</v>
      </c>
      <c r="R142" s="370">
        <v>140</v>
      </c>
      <c r="S142" s="368">
        <v>600</v>
      </c>
      <c r="T142" s="369">
        <v>435</v>
      </c>
      <c r="U142" s="299">
        <f t="shared" si="24"/>
        <v>600</v>
      </c>
      <c r="V142" s="299">
        <f t="shared" si="25"/>
        <v>395</v>
      </c>
      <c r="W142" s="299">
        <f t="shared" si="26"/>
        <v>395</v>
      </c>
      <c r="X142" s="299">
        <f t="shared" si="27"/>
        <v>395</v>
      </c>
      <c r="Y142" s="299">
        <f t="shared" si="28"/>
        <v>395</v>
      </c>
      <c r="Z142" s="299">
        <f t="shared" si="29"/>
        <v>395</v>
      </c>
    </row>
    <row r="143" spans="1:26" ht="12" customHeight="1" hidden="1" thickBot="1">
      <c r="A143" s="20"/>
      <c r="B143" s="20"/>
      <c r="C143" s="20"/>
      <c r="D143" s="20"/>
      <c r="E143" s="20"/>
      <c r="F143" s="19"/>
      <c r="I143" s="27"/>
      <c r="J143" s="90"/>
      <c r="K143" s="374">
        <v>0.6</v>
      </c>
      <c r="L143" s="377">
        <f t="shared" si="23"/>
        <v>455</v>
      </c>
      <c r="M143" s="275">
        <v>455</v>
      </c>
      <c r="N143" s="367">
        <v>260</v>
      </c>
      <c r="O143" s="289">
        <v>260</v>
      </c>
      <c r="P143" s="274">
        <v>203</v>
      </c>
      <c r="Q143" s="294">
        <v>190</v>
      </c>
      <c r="R143" s="370">
        <v>160</v>
      </c>
      <c r="S143" s="368">
        <v>645</v>
      </c>
      <c r="T143" s="369">
        <v>450</v>
      </c>
      <c r="U143" s="299">
        <f t="shared" si="24"/>
        <v>645</v>
      </c>
      <c r="V143" s="299">
        <f t="shared" si="25"/>
        <v>455</v>
      </c>
      <c r="W143" s="299">
        <f t="shared" si="26"/>
        <v>455</v>
      </c>
      <c r="X143" s="299">
        <f t="shared" si="27"/>
        <v>455</v>
      </c>
      <c r="Y143" s="299">
        <f t="shared" si="28"/>
        <v>455</v>
      </c>
      <c r="Z143" s="299">
        <f t="shared" si="29"/>
        <v>455</v>
      </c>
    </row>
    <row r="144" spans="1:26" ht="12" customHeight="1" hidden="1" thickBot="1">
      <c r="A144" s="20"/>
      <c r="B144" s="20"/>
      <c r="C144" s="20"/>
      <c r="D144" s="20"/>
      <c r="E144" s="20"/>
      <c r="F144" s="19"/>
      <c r="I144" s="27"/>
      <c r="J144" s="90"/>
      <c r="K144" s="374">
        <v>0.7</v>
      </c>
      <c r="L144" s="377">
        <f t="shared" si="23"/>
        <v>430</v>
      </c>
      <c r="M144" s="275">
        <v>430</v>
      </c>
      <c r="N144" s="367">
        <v>285</v>
      </c>
      <c r="O144" s="289">
        <v>365</v>
      </c>
      <c r="P144" s="274">
        <v>230</v>
      </c>
      <c r="Q144" s="294">
        <v>190</v>
      </c>
      <c r="R144" s="370">
        <v>160</v>
      </c>
      <c r="S144" s="368">
        <v>610</v>
      </c>
      <c r="T144" s="369">
        <v>465</v>
      </c>
      <c r="U144" s="299">
        <f t="shared" si="24"/>
        <v>610</v>
      </c>
      <c r="V144" s="299">
        <f t="shared" si="25"/>
        <v>430</v>
      </c>
      <c r="W144" s="299">
        <f t="shared" si="26"/>
        <v>430</v>
      </c>
      <c r="X144" s="299">
        <f t="shared" si="27"/>
        <v>430</v>
      </c>
      <c r="Y144" s="299">
        <f t="shared" si="28"/>
        <v>430</v>
      </c>
      <c r="Z144" s="299">
        <f t="shared" si="29"/>
        <v>430</v>
      </c>
    </row>
    <row r="145" spans="1:26" ht="12" customHeight="1" hidden="1" thickBot="1">
      <c r="A145" s="20"/>
      <c r="B145" s="20"/>
      <c r="C145" s="20"/>
      <c r="D145" s="20"/>
      <c r="E145" s="20"/>
      <c r="F145" s="19"/>
      <c r="I145" s="27"/>
      <c r="J145" s="90"/>
      <c r="K145" s="374">
        <v>0.8</v>
      </c>
      <c r="L145" s="377">
        <f t="shared" si="23"/>
        <v>515</v>
      </c>
      <c r="M145" s="275">
        <v>515</v>
      </c>
      <c r="N145" s="367">
        <v>345</v>
      </c>
      <c r="O145" s="273">
        <v>395</v>
      </c>
      <c r="P145" s="274">
        <v>340</v>
      </c>
      <c r="Q145" s="295">
        <v>280</v>
      </c>
      <c r="R145" s="371">
        <v>180</v>
      </c>
      <c r="S145" s="368">
        <v>645</v>
      </c>
      <c r="T145" s="369">
        <v>475</v>
      </c>
      <c r="U145" s="299">
        <f t="shared" si="24"/>
        <v>645</v>
      </c>
      <c r="V145" s="299">
        <f t="shared" si="25"/>
        <v>515</v>
      </c>
      <c r="W145" s="299">
        <f t="shared" si="26"/>
        <v>515</v>
      </c>
      <c r="X145" s="299">
        <f t="shared" si="27"/>
        <v>515</v>
      </c>
      <c r="Y145" s="299">
        <f t="shared" si="28"/>
        <v>515</v>
      </c>
      <c r="Z145" s="299">
        <f t="shared" si="29"/>
        <v>515</v>
      </c>
    </row>
    <row r="146" spans="1:26" ht="12" customHeight="1" hidden="1" thickBot="1">
      <c r="A146" s="20"/>
      <c r="B146" s="20"/>
      <c r="C146" s="20"/>
      <c r="D146" s="20"/>
      <c r="E146" s="20"/>
      <c r="F146" s="19"/>
      <c r="I146" s="27"/>
      <c r="J146" s="90"/>
      <c r="K146" s="374">
        <v>1</v>
      </c>
      <c r="L146" s="377">
        <f t="shared" si="23"/>
        <v>635</v>
      </c>
      <c r="M146" s="275">
        <v>635</v>
      </c>
      <c r="N146" s="367">
        <v>435</v>
      </c>
      <c r="O146" s="273">
        <v>410</v>
      </c>
      <c r="P146" s="274">
        <v>330</v>
      </c>
      <c r="Q146" s="295">
        <v>310</v>
      </c>
      <c r="R146" s="371">
        <v>180</v>
      </c>
      <c r="S146" s="368">
        <v>690</v>
      </c>
      <c r="T146" s="369">
        <v>490</v>
      </c>
      <c r="U146" s="299">
        <f t="shared" si="24"/>
        <v>690</v>
      </c>
      <c r="V146" s="299">
        <f t="shared" si="25"/>
        <v>635</v>
      </c>
      <c r="W146" s="299">
        <f t="shared" si="26"/>
        <v>635</v>
      </c>
      <c r="X146" s="299">
        <f t="shared" si="27"/>
        <v>635</v>
      </c>
      <c r="Y146" s="299">
        <f t="shared" si="28"/>
        <v>635</v>
      </c>
      <c r="Z146" s="299">
        <f t="shared" si="29"/>
        <v>635</v>
      </c>
    </row>
    <row r="147" spans="1:26" ht="12" customHeight="1" hidden="1" thickBot="1">
      <c r="A147" s="20"/>
      <c r="B147" s="20"/>
      <c r="C147" s="20"/>
      <c r="D147" s="20"/>
      <c r="E147" s="20"/>
      <c r="F147" s="19"/>
      <c r="I147" s="27"/>
      <c r="J147" s="90"/>
      <c r="K147" s="374">
        <v>1.1</v>
      </c>
      <c r="L147" s="377">
        <f t="shared" si="23"/>
        <v>710</v>
      </c>
      <c r="M147" s="275">
        <v>710</v>
      </c>
      <c r="N147" s="367">
        <v>495</v>
      </c>
      <c r="O147" s="273">
        <v>430</v>
      </c>
      <c r="P147" s="274">
        <v>330</v>
      </c>
      <c r="Q147" s="295">
        <v>320</v>
      </c>
      <c r="R147" s="371">
        <v>190</v>
      </c>
      <c r="S147" s="368">
        <v>720</v>
      </c>
      <c r="T147" s="369">
        <v>505</v>
      </c>
      <c r="U147" s="299">
        <f t="shared" si="24"/>
        <v>720</v>
      </c>
      <c r="V147" s="299">
        <f t="shared" si="25"/>
        <v>710</v>
      </c>
      <c r="W147" s="299">
        <f t="shared" si="26"/>
        <v>710</v>
      </c>
      <c r="X147" s="299">
        <f t="shared" si="27"/>
        <v>710</v>
      </c>
      <c r="Y147" s="299">
        <f t="shared" si="28"/>
        <v>710</v>
      </c>
      <c r="Z147" s="299">
        <f t="shared" si="29"/>
        <v>710</v>
      </c>
    </row>
    <row r="148" spans="1:26" ht="12" customHeight="1" hidden="1" thickBot="1">
      <c r="A148" s="20"/>
      <c r="B148" s="20"/>
      <c r="C148" s="20"/>
      <c r="D148" s="20"/>
      <c r="E148" s="20"/>
      <c r="F148" s="19"/>
      <c r="I148" s="27"/>
      <c r="J148" s="90"/>
      <c r="K148" s="375">
        <v>1.2</v>
      </c>
      <c r="L148" s="378">
        <f t="shared" si="23"/>
        <v>730</v>
      </c>
      <c r="M148" s="275">
        <v>730</v>
      </c>
      <c r="N148" s="367">
        <v>510</v>
      </c>
      <c r="O148" s="273">
        <v>480</v>
      </c>
      <c r="P148" s="274">
        <v>335</v>
      </c>
      <c r="Q148" s="295">
        <v>330</v>
      </c>
      <c r="R148" s="371">
        <v>190</v>
      </c>
      <c r="S148" s="368">
        <v>730</v>
      </c>
      <c r="T148" s="369">
        <v>510</v>
      </c>
      <c r="U148" s="299">
        <f t="shared" si="24"/>
        <v>730</v>
      </c>
      <c r="V148" s="299">
        <f t="shared" si="25"/>
        <v>730</v>
      </c>
      <c r="W148" s="299">
        <f t="shared" si="26"/>
        <v>730</v>
      </c>
      <c r="X148" s="299">
        <f t="shared" si="27"/>
        <v>730</v>
      </c>
      <c r="Y148" s="299">
        <f t="shared" si="28"/>
        <v>730</v>
      </c>
      <c r="Z148" s="299">
        <f t="shared" si="29"/>
        <v>730</v>
      </c>
    </row>
    <row r="149" spans="1:24" ht="12" customHeight="1" hidden="1">
      <c r="A149" s="20"/>
      <c r="B149" s="20"/>
      <c r="C149" s="20"/>
      <c r="D149" s="20"/>
      <c r="E149" s="20"/>
      <c r="F149" s="19"/>
      <c r="I149" s="27"/>
      <c r="J149" s="90"/>
      <c r="W149" s="21"/>
      <c r="X149" s="21"/>
    </row>
    <row r="150" spans="1:24" ht="12" customHeight="1" hidden="1">
      <c r="A150" s="20"/>
      <c r="B150" s="20"/>
      <c r="C150" s="20"/>
      <c r="D150" s="20"/>
      <c r="E150" s="20"/>
      <c r="F150" s="19"/>
      <c r="I150" s="27"/>
      <c r="J150" s="90"/>
      <c r="W150" s="21"/>
      <c r="X150" s="21"/>
    </row>
    <row r="151" spans="1:24" ht="12" customHeight="1" hidden="1">
      <c r="A151" s="20"/>
      <c r="B151" s="20"/>
      <c r="C151" s="20"/>
      <c r="D151" s="20"/>
      <c r="E151" s="20"/>
      <c r="F151" s="19"/>
      <c r="I151" s="27"/>
      <c r="J151" s="90"/>
      <c r="W151" s="21"/>
      <c r="X151" s="21"/>
    </row>
    <row r="152" spans="1:24" ht="12" customHeight="1" hidden="1">
      <c r="A152" s="20"/>
      <c r="B152" s="20"/>
      <c r="C152" s="20"/>
      <c r="D152" s="20"/>
      <c r="E152" s="20"/>
      <c r="F152" s="19"/>
      <c r="I152" s="27"/>
      <c r="J152" s="90"/>
      <c r="W152" s="21"/>
      <c r="X152" s="21"/>
    </row>
    <row r="153" spans="1:24" ht="24" customHeight="1">
      <c r="A153" s="20"/>
      <c r="B153" s="20"/>
      <c r="C153" s="20"/>
      <c r="D153" s="20"/>
      <c r="E153" s="20"/>
      <c r="F153" s="19"/>
      <c r="I153" s="27"/>
      <c r="J153" s="90"/>
      <c r="W153" s="21"/>
      <c r="X153" s="21"/>
    </row>
    <row r="154" spans="1:6" ht="13.5" customHeight="1">
      <c r="A154" s="431"/>
      <c r="B154" s="432"/>
      <c r="C154" s="433"/>
      <c r="D154" s="432"/>
      <c r="E154" s="432"/>
      <c r="F154" s="432"/>
    </row>
    <row r="155" spans="1:8" ht="14.25" customHeight="1">
      <c r="A155" s="434"/>
      <c r="B155" s="434"/>
      <c r="C155" s="156"/>
      <c r="D155" s="156"/>
      <c r="E155" s="156"/>
      <c r="F155" s="156"/>
      <c r="G155" s="156"/>
      <c r="H155" s="156"/>
    </row>
    <row r="156" spans="1:4" ht="12.75">
      <c r="A156" s="429"/>
      <c r="B156" s="429"/>
      <c r="C156" s="429"/>
      <c r="D156" s="429"/>
    </row>
    <row r="157" spans="1:6" ht="12.75">
      <c r="A157" s="157"/>
      <c r="B157" s="157"/>
      <c r="C157" s="157"/>
      <c r="D157" s="157"/>
      <c r="E157" s="157"/>
      <c r="F157" s="157"/>
    </row>
    <row r="158" spans="1:22" ht="12.75">
      <c r="A158" s="21"/>
      <c r="B158" s="158"/>
      <c r="C158" s="158"/>
      <c r="D158" s="159"/>
      <c r="E158" s="21"/>
      <c r="F158" s="158"/>
      <c r="G158" s="158"/>
      <c r="H158" s="159"/>
      <c r="K158" s="13"/>
      <c r="L158" s="13"/>
      <c r="M158" s="13"/>
      <c r="N158" s="21"/>
      <c r="O158" s="21"/>
      <c r="P158" s="21"/>
      <c r="Q158" s="21"/>
      <c r="R158" s="21"/>
      <c r="S158" s="21"/>
      <c r="T158" s="21"/>
      <c r="U158" s="21"/>
      <c r="V158" s="21"/>
    </row>
    <row r="159" spans="4:13" ht="23.25">
      <c r="D159" s="347" t="s">
        <v>378</v>
      </c>
      <c r="F159" s="155"/>
      <c r="I159" s="13"/>
      <c r="J159" s="21"/>
      <c r="K159" s="27"/>
      <c r="L159" s="160"/>
      <c r="M159" s="13"/>
    </row>
    <row r="160" spans="4:13" ht="20.25">
      <c r="D160" s="154"/>
      <c r="F160" s="155"/>
      <c r="J160" s="27"/>
      <c r="K160" s="27"/>
      <c r="L160" s="160"/>
      <c r="M160" s="13"/>
    </row>
    <row r="161" spans="2:10" ht="12.75">
      <c r="B161" s="161" t="s">
        <v>70</v>
      </c>
      <c r="C161" s="161" t="s">
        <v>377</v>
      </c>
      <c r="D161" s="161" t="s">
        <v>376</v>
      </c>
      <c r="E161" s="161" t="s">
        <v>374</v>
      </c>
      <c r="F161" s="161" t="s">
        <v>375</v>
      </c>
      <c r="G161" s="384" t="s">
        <v>546</v>
      </c>
      <c r="J161" s="27"/>
    </row>
    <row r="162" spans="2:7" ht="13.5" thickBot="1">
      <c r="B162" s="239">
        <v>749</v>
      </c>
      <c r="C162" s="162">
        <f>LOOKUP(B162,Cargos!A3:A314,Cargos!C3:C314)</f>
        <v>971</v>
      </c>
      <c r="D162" s="162">
        <f>LOOKUP(B162,Cargos!A3:A314,Cargos!E3:E314)</f>
        <v>0</v>
      </c>
      <c r="E162" s="162">
        <f>LOOKUP(B162,Cargos!A3:A314,Cargos!F3:F314)</f>
        <v>0</v>
      </c>
      <c r="F162" s="161">
        <f>LOOKUP(B162,Cargos!A3:A314,Cargos!G3:G314)</f>
        <v>0</v>
      </c>
      <c r="G162" s="161">
        <f>LOOKUP(B162,Cargos!A3:A314,[0]!puntoscompbasico)</f>
        <v>170</v>
      </c>
    </row>
    <row r="163" spans="2:6" ht="19.5" customHeight="1" thickBot="1">
      <c r="B163" s="163" t="s">
        <v>440</v>
      </c>
      <c r="C163" s="82"/>
      <c r="D163" s="115" t="str">
        <f>LOOKUP(B162,Cargos!A3:A314,Cargos!B3:B314)</f>
        <v> MAESTRO DE GRADO</v>
      </c>
      <c r="E163" s="82"/>
      <c r="F163" s="169"/>
    </row>
    <row r="164" spans="2:13" ht="20.25">
      <c r="B164" s="253" t="s">
        <v>441</v>
      </c>
      <c r="E164" s="154"/>
      <c r="K164" s="27"/>
      <c r="L164" s="160"/>
      <c r="M164" s="13"/>
    </row>
    <row r="165" spans="4:13" ht="20.25">
      <c r="D165" s="154"/>
      <c r="F165" s="155"/>
      <c r="J165" s="27"/>
      <c r="K165" s="27"/>
      <c r="L165" s="160"/>
      <c r="M165" s="13"/>
    </row>
    <row r="166" spans="5:13" ht="16.5" thickBot="1">
      <c r="E166" s="164"/>
      <c r="L166" s="159"/>
      <c r="M166" s="13"/>
    </row>
    <row r="167" spans="3:13" ht="16.5" thickBot="1">
      <c r="C167" s="204" t="s">
        <v>405</v>
      </c>
      <c r="D167" s="82"/>
      <c r="E167" s="92">
        <v>0</v>
      </c>
      <c r="G167" s="318" t="s">
        <v>403</v>
      </c>
      <c r="H167" s="319">
        <f>IF(E169&gt;921,1,0)</f>
        <v>1</v>
      </c>
      <c r="I167" s="211"/>
      <c r="J167" s="13"/>
      <c r="K167" s="13"/>
      <c r="L167" s="13"/>
      <c r="M167" s="13"/>
    </row>
    <row r="168" spans="3:16" ht="16.5" thickBot="1">
      <c r="C168" s="19"/>
      <c r="D168" s="19"/>
      <c r="E168" s="165">
        <f>LOOKUP(E167,I80:I91,J80:J91)</f>
        <v>0</v>
      </c>
      <c r="J168" s="13"/>
      <c r="K168" s="13"/>
      <c r="L168" s="13"/>
      <c r="M168" s="13"/>
      <c r="P168" s="348"/>
    </row>
    <row r="169" spans="3:13" ht="18.75" thickBot="1">
      <c r="C169" s="166" t="s">
        <v>5</v>
      </c>
      <c r="D169" s="166"/>
      <c r="E169" s="167">
        <f>C162</f>
        <v>971</v>
      </c>
      <c r="F169" s="168" t="s">
        <v>413</v>
      </c>
      <c r="G169" s="169"/>
      <c r="H169" s="267">
        <f>F162+E162</f>
        <v>0</v>
      </c>
      <c r="J169" s="13"/>
      <c r="K169" s="13"/>
      <c r="L169" s="13"/>
      <c r="M169" s="13"/>
    </row>
    <row r="170" spans="3:13" ht="15.75">
      <c r="C170" s="19"/>
      <c r="D170" s="19"/>
      <c r="E170" s="170"/>
      <c r="H170" s="19"/>
      <c r="J170" s="13"/>
      <c r="K170" s="13"/>
      <c r="L170" s="13"/>
      <c r="M170" s="13"/>
    </row>
    <row r="171" spans="2:37" ht="18.75" thickBot="1">
      <c r="B171" s="13"/>
      <c r="C171" s="303" t="s">
        <v>541</v>
      </c>
      <c r="D171" s="13"/>
      <c r="H171" s="13"/>
      <c r="I171" s="303" t="s">
        <v>528</v>
      </c>
      <c r="J171" s="13"/>
      <c r="N171" s="13"/>
      <c r="O171" s="303" t="s">
        <v>549</v>
      </c>
      <c r="P171" s="13"/>
      <c r="U171" s="13"/>
      <c r="V171" s="303" t="s">
        <v>547</v>
      </c>
      <c r="W171" s="13"/>
      <c r="AB171" s="13"/>
      <c r="AC171" s="303" t="s">
        <v>548</v>
      </c>
      <c r="AD171" s="13"/>
      <c r="AI171" s="13"/>
      <c r="AJ171" s="303" t="s">
        <v>566</v>
      </c>
      <c r="AK171" s="13"/>
    </row>
    <row r="172" spans="2:41" ht="13.5" thickBot="1">
      <c r="B172" s="185" t="s">
        <v>451</v>
      </c>
      <c r="C172" s="263" t="s">
        <v>450</v>
      </c>
      <c r="D172" s="263" t="s">
        <v>406</v>
      </c>
      <c r="E172" s="263" t="s">
        <v>407</v>
      </c>
      <c r="F172" s="264" t="s">
        <v>408</v>
      </c>
      <c r="G172" s="34"/>
      <c r="H172" s="185" t="s">
        <v>451</v>
      </c>
      <c r="I172" s="263" t="s">
        <v>450</v>
      </c>
      <c r="J172" s="263" t="s">
        <v>406</v>
      </c>
      <c r="K172" s="263" t="s">
        <v>407</v>
      </c>
      <c r="L172" s="264" t="s">
        <v>408</v>
      </c>
      <c r="M172" s="27" t="s">
        <v>542</v>
      </c>
      <c r="N172" s="185" t="s">
        <v>451</v>
      </c>
      <c r="O172" s="263" t="s">
        <v>450</v>
      </c>
      <c r="P172" s="263" t="s">
        <v>406</v>
      </c>
      <c r="Q172" s="263" t="s">
        <v>407</v>
      </c>
      <c r="R172" s="264" t="s">
        <v>408</v>
      </c>
      <c r="S172" s="412" t="s">
        <v>563</v>
      </c>
      <c r="T172" s="413" t="s">
        <v>540</v>
      </c>
      <c r="U172" s="185" t="s">
        <v>451</v>
      </c>
      <c r="V172" s="263" t="s">
        <v>450</v>
      </c>
      <c r="W172" s="263" t="s">
        <v>406</v>
      </c>
      <c r="X172" s="263" t="s">
        <v>407</v>
      </c>
      <c r="Y172" s="264" t="s">
        <v>408</v>
      </c>
      <c r="Z172" s="412" t="s">
        <v>563</v>
      </c>
      <c r="AA172" s="413" t="s">
        <v>540</v>
      </c>
      <c r="AB172" s="185" t="s">
        <v>451</v>
      </c>
      <c r="AC172" s="263" t="s">
        <v>450</v>
      </c>
      <c r="AD172" s="263" t="s">
        <v>406</v>
      </c>
      <c r="AE172" s="263" t="s">
        <v>407</v>
      </c>
      <c r="AF172" s="264" t="s">
        <v>408</v>
      </c>
      <c r="AG172" s="412" t="s">
        <v>563</v>
      </c>
      <c r="AH172" s="413" t="s">
        <v>540</v>
      </c>
      <c r="AI172" s="185" t="s">
        <v>451</v>
      </c>
      <c r="AJ172" s="263" t="s">
        <v>450</v>
      </c>
      <c r="AK172" s="263" t="s">
        <v>406</v>
      </c>
      <c r="AL172" s="263" t="s">
        <v>407</v>
      </c>
      <c r="AM172" s="264" t="s">
        <v>408</v>
      </c>
      <c r="AN172" s="412" t="s">
        <v>563</v>
      </c>
      <c r="AO172" s="413" t="s">
        <v>540</v>
      </c>
    </row>
    <row r="173" spans="2:41" ht="12.75">
      <c r="B173" s="260" t="s">
        <v>383</v>
      </c>
      <c r="C173" s="225"/>
      <c r="D173" s="261" t="s">
        <v>384</v>
      </c>
      <c r="E173" s="262">
        <f>E169*indiceoct07</f>
        <v>480.645</v>
      </c>
      <c r="F173" s="177"/>
      <c r="G173" s="335"/>
      <c r="H173" s="260" t="s">
        <v>383</v>
      </c>
      <c r="I173" s="225"/>
      <c r="J173" s="261" t="s">
        <v>384</v>
      </c>
      <c r="K173" s="262">
        <f>E169*indicemar08</f>
        <v>572.89</v>
      </c>
      <c r="L173" s="177"/>
      <c r="M173" s="335">
        <f>K173-E173</f>
        <v>92.245</v>
      </c>
      <c r="N173" s="260" t="s">
        <v>383</v>
      </c>
      <c r="O173" s="225"/>
      <c r="P173" s="261" t="s">
        <v>384</v>
      </c>
      <c r="Q173" s="262">
        <f>E169*indicejul08</f>
        <v>611.73</v>
      </c>
      <c r="R173" s="177"/>
      <c r="S173" s="414">
        <f>Q173-K173</f>
        <v>38.84000000000003</v>
      </c>
      <c r="T173" s="415">
        <f>Q173-E173</f>
        <v>131.08500000000004</v>
      </c>
      <c r="U173" s="260" t="s">
        <v>383</v>
      </c>
      <c r="V173" s="225"/>
      <c r="W173" s="261" t="s">
        <v>384</v>
      </c>
      <c r="X173" s="262">
        <f>E169*indiceago08</f>
        <v>634.063</v>
      </c>
      <c r="Y173" s="177"/>
      <c r="Z173" s="414">
        <f>X173-Q173</f>
        <v>22.33299999999997</v>
      </c>
      <c r="AA173" s="415">
        <f>X173-Q173</f>
        <v>22.33299999999997</v>
      </c>
      <c r="AB173" s="260" t="s">
        <v>383</v>
      </c>
      <c r="AC173" s="225"/>
      <c r="AD173" s="261" t="s">
        <v>384</v>
      </c>
      <c r="AE173" s="262">
        <f>E169*indiceoct08</f>
        <v>655.4250000000001</v>
      </c>
      <c r="AF173" s="177"/>
      <c r="AG173" s="414">
        <f>AE173-X173</f>
        <v>21.36200000000008</v>
      </c>
      <c r="AH173" s="415">
        <f>AE173-Q173</f>
        <v>43.69500000000005</v>
      </c>
      <c r="AI173" s="260" t="s">
        <v>383</v>
      </c>
      <c r="AJ173" s="225"/>
      <c r="AK173" s="261" t="s">
        <v>384</v>
      </c>
      <c r="AL173" s="262">
        <f>E169*indicedic08</f>
        <v>680.8652000000001</v>
      </c>
      <c r="AM173" s="177"/>
      <c r="AN173" s="414">
        <f>AL173-AE173</f>
        <v>25.440200000000004</v>
      </c>
      <c r="AO173" s="415">
        <f>AL173-Q173</f>
        <v>69.13520000000005</v>
      </c>
    </row>
    <row r="174" spans="2:41" ht="12.75">
      <c r="B174" s="260" t="s">
        <v>574</v>
      </c>
      <c r="C174" s="225"/>
      <c r="D174" s="261" t="s">
        <v>527</v>
      </c>
      <c r="E174" s="262">
        <v>0</v>
      </c>
      <c r="F174" s="177"/>
      <c r="G174" s="335"/>
      <c r="H174" s="260" t="s">
        <v>574</v>
      </c>
      <c r="I174" s="225"/>
      <c r="J174" s="261" t="s">
        <v>527</v>
      </c>
      <c r="K174" s="262">
        <f>compbasico*indicemar08</f>
        <v>100.3</v>
      </c>
      <c r="L174" s="177"/>
      <c r="M174" s="335">
        <f aca="true" t="shared" si="30" ref="M174:M188">K174-E174</f>
        <v>100.3</v>
      </c>
      <c r="N174" s="260" t="s">
        <v>574</v>
      </c>
      <c r="O174" s="225"/>
      <c r="P174" s="261" t="s">
        <v>527</v>
      </c>
      <c r="Q174" s="262">
        <f>compbasico*indicejul08</f>
        <v>107.1</v>
      </c>
      <c r="R174" s="177"/>
      <c r="S174" s="414">
        <f aca="true" t="shared" si="31" ref="S174:S188">Q174-K174</f>
        <v>6.799999999999997</v>
      </c>
      <c r="T174" s="415">
        <f aca="true" t="shared" si="32" ref="T174:T188">Q174-E174</f>
        <v>107.1</v>
      </c>
      <c r="U174" s="260" t="s">
        <v>574</v>
      </c>
      <c r="V174" s="225"/>
      <c r="W174" s="261" t="s">
        <v>527</v>
      </c>
      <c r="X174" s="262">
        <f>compbasico*indiceago08</f>
        <v>111.01</v>
      </c>
      <c r="Y174" s="177"/>
      <c r="Z174" s="414">
        <f aca="true" t="shared" si="33" ref="Z174:Z188">X174-Q174</f>
        <v>3.910000000000011</v>
      </c>
      <c r="AA174" s="415">
        <f aca="true" t="shared" si="34" ref="AA174:AA188">X174-Q174</f>
        <v>3.910000000000011</v>
      </c>
      <c r="AB174" s="260" t="s">
        <v>574</v>
      </c>
      <c r="AC174" s="225"/>
      <c r="AD174" s="261" t="s">
        <v>527</v>
      </c>
      <c r="AE174" s="262">
        <f>compbasico*indiceoct08</f>
        <v>114.75000000000001</v>
      </c>
      <c r="AF174" s="177"/>
      <c r="AG174" s="414">
        <f aca="true" t="shared" si="35" ref="AG174:AG188">AE174-X174</f>
        <v>3.740000000000009</v>
      </c>
      <c r="AH174" s="415">
        <f aca="true" t="shared" si="36" ref="AH174:AH188">AE174-Q174</f>
        <v>7.65000000000002</v>
      </c>
      <c r="AI174" s="383" t="s">
        <v>526</v>
      </c>
      <c r="AJ174" s="225"/>
      <c r="AK174" s="261" t="s">
        <v>527</v>
      </c>
      <c r="AL174" s="262">
        <f>compbasico*indicedic08</f>
        <v>119.20400000000001</v>
      </c>
      <c r="AM174" s="177"/>
      <c r="AN174" s="414">
        <f aca="true" t="shared" si="37" ref="AN174:AN188">AL174-AE174</f>
        <v>4.4539999999999935</v>
      </c>
      <c r="AO174" s="415">
        <f aca="true" t="shared" si="38" ref="AO174:AO188">AL174-Q174</f>
        <v>12.104000000000013</v>
      </c>
    </row>
    <row r="175" spans="2:41" ht="12.75">
      <c r="B175" s="88" t="s">
        <v>387</v>
      </c>
      <c r="C175" s="87"/>
      <c r="D175" s="174" t="s">
        <v>414</v>
      </c>
      <c r="E175" s="130">
        <f>LOOKUP(C176,porant,cod06cargos)</f>
        <v>80</v>
      </c>
      <c r="F175" s="95"/>
      <c r="G175" s="335"/>
      <c r="H175" s="88" t="s">
        <v>387</v>
      </c>
      <c r="I175" s="87"/>
      <c r="J175" s="174" t="s">
        <v>414</v>
      </c>
      <c r="K175" s="130">
        <f>LOOKUP(I176,porant,cod06cargos)</f>
        <v>80</v>
      </c>
      <c r="L175" s="95"/>
      <c r="M175" s="335">
        <f t="shared" si="30"/>
        <v>0</v>
      </c>
      <c r="N175" s="88" t="s">
        <v>387</v>
      </c>
      <c r="O175" s="87"/>
      <c r="P175" s="174" t="s">
        <v>414</v>
      </c>
      <c r="Q175" s="130">
        <f>LOOKUP(O176,porant,cod06cargos)</f>
        <v>80</v>
      </c>
      <c r="R175" s="95"/>
      <c r="S175" s="414">
        <f t="shared" si="31"/>
        <v>0</v>
      </c>
      <c r="T175" s="415">
        <f t="shared" si="32"/>
        <v>0</v>
      </c>
      <c r="U175" s="88" t="s">
        <v>387</v>
      </c>
      <c r="V175" s="87"/>
      <c r="W175" s="174" t="s">
        <v>414</v>
      </c>
      <c r="X175" s="130">
        <f>LOOKUP(V176,porant,cod06cargosago08)</f>
        <v>160</v>
      </c>
      <c r="Y175" s="95"/>
      <c r="Z175" s="414">
        <f t="shared" si="33"/>
        <v>80</v>
      </c>
      <c r="AA175" s="415">
        <f t="shared" si="34"/>
        <v>80</v>
      </c>
      <c r="AB175" s="88" t="s">
        <v>387</v>
      </c>
      <c r="AC175" s="87"/>
      <c r="AD175" s="174" t="s">
        <v>414</v>
      </c>
      <c r="AE175" s="130">
        <f>LOOKUP(AC176,porant,cod06cargosoct08)</f>
        <v>170</v>
      </c>
      <c r="AF175" s="95"/>
      <c r="AG175" s="414">
        <f t="shared" si="35"/>
        <v>10</v>
      </c>
      <c r="AH175" s="415">
        <f t="shared" si="36"/>
        <v>90</v>
      </c>
      <c r="AI175" s="88" t="s">
        <v>387</v>
      </c>
      <c r="AJ175" s="87"/>
      <c r="AK175" s="174" t="s">
        <v>414</v>
      </c>
      <c r="AL175" s="130">
        <f>LOOKUP(AJ176,porant,cod06cargosdic08)</f>
        <v>180</v>
      </c>
      <c r="AM175" s="95"/>
      <c r="AN175" s="414">
        <f t="shared" si="37"/>
        <v>10</v>
      </c>
      <c r="AO175" s="415">
        <f t="shared" si="38"/>
        <v>100</v>
      </c>
    </row>
    <row r="176" spans="2:41" ht="12.75">
      <c r="B176" s="175" t="s">
        <v>382</v>
      </c>
      <c r="C176" s="176">
        <f>E168</f>
        <v>0</v>
      </c>
      <c r="D176" s="114" t="s">
        <v>0</v>
      </c>
      <c r="E176" s="173">
        <f>(E173+E179+E180)*C176</f>
        <v>0</v>
      </c>
      <c r="F176" s="177"/>
      <c r="G176" s="335"/>
      <c r="H176" s="175" t="s">
        <v>382</v>
      </c>
      <c r="I176" s="176">
        <f>E168</f>
        <v>0</v>
      </c>
      <c r="J176" s="114" t="s">
        <v>0</v>
      </c>
      <c r="K176" s="173">
        <f>(K173+K174+K179+K180)*I176</f>
        <v>0</v>
      </c>
      <c r="L176" s="177"/>
      <c r="M176" s="335">
        <f t="shared" si="30"/>
        <v>0</v>
      </c>
      <c r="N176" s="175" t="s">
        <v>382</v>
      </c>
      <c r="O176" s="176">
        <f>E168</f>
        <v>0</v>
      </c>
      <c r="P176" s="114" t="s">
        <v>0</v>
      </c>
      <c r="Q176" s="173">
        <f>(Q173+Q174+Q179+Q180)*O176</f>
        <v>0</v>
      </c>
      <c r="R176" s="177"/>
      <c r="S176" s="414">
        <f t="shared" si="31"/>
        <v>0</v>
      </c>
      <c r="T176" s="415">
        <f t="shared" si="32"/>
        <v>0</v>
      </c>
      <c r="U176" s="175" t="s">
        <v>382</v>
      </c>
      <c r="V176" s="176">
        <f>E168</f>
        <v>0</v>
      </c>
      <c r="W176" s="114" t="s">
        <v>0</v>
      </c>
      <c r="X176" s="173">
        <f>(X173+X174+X179+X180)*V176</f>
        <v>0</v>
      </c>
      <c r="Y176" s="177"/>
      <c r="Z176" s="414">
        <f t="shared" si="33"/>
        <v>0</v>
      </c>
      <c r="AA176" s="415">
        <f t="shared" si="34"/>
        <v>0</v>
      </c>
      <c r="AB176" s="175" t="s">
        <v>382</v>
      </c>
      <c r="AC176" s="176">
        <f>E168</f>
        <v>0</v>
      </c>
      <c r="AD176" s="114" t="s">
        <v>0</v>
      </c>
      <c r="AE176" s="173">
        <f>(AE173+AE174+AE179+AE180)*AC176</f>
        <v>0</v>
      </c>
      <c r="AF176" s="177"/>
      <c r="AG176" s="414">
        <f t="shared" si="35"/>
        <v>0</v>
      </c>
      <c r="AH176" s="415">
        <f t="shared" si="36"/>
        <v>0</v>
      </c>
      <c r="AI176" s="175" t="s">
        <v>382</v>
      </c>
      <c r="AJ176" s="176">
        <f>E168</f>
        <v>0</v>
      </c>
      <c r="AK176" s="114" t="s">
        <v>0</v>
      </c>
      <c r="AL176" s="173">
        <f>(AL173+AL174+AL179+AL180)*AJ176</f>
        <v>0</v>
      </c>
      <c r="AM176" s="177"/>
      <c r="AN176" s="414">
        <f t="shared" si="37"/>
        <v>0</v>
      </c>
      <c r="AO176" s="415">
        <f t="shared" si="38"/>
        <v>0</v>
      </c>
    </row>
    <row r="177" spans="2:41" ht="12.75">
      <c r="B177" s="88" t="s">
        <v>388</v>
      </c>
      <c r="C177" s="87"/>
      <c r="D177" s="174" t="s">
        <v>415</v>
      </c>
      <c r="E177" s="130">
        <f>E175*0.07</f>
        <v>5.6000000000000005</v>
      </c>
      <c r="F177" s="95"/>
      <c r="G177" s="335"/>
      <c r="H177" s="88" t="s">
        <v>388</v>
      </c>
      <c r="I177" s="87"/>
      <c r="J177" s="174" t="s">
        <v>415</v>
      </c>
      <c r="K177" s="130">
        <f>K175*0.07</f>
        <v>5.6000000000000005</v>
      </c>
      <c r="L177" s="95"/>
      <c r="M177" s="335">
        <f t="shared" si="30"/>
        <v>0</v>
      </c>
      <c r="N177" s="88" t="s">
        <v>388</v>
      </c>
      <c r="O177" s="87"/>
      <c r="P177" s="174" t="s">
        <v>415</v>
      </c>
      <c r="Q177" s="130">
        <f>Q175*0.07</f>
        <v>5.6000000000000005</v>
      </c>
      <c r="R177" s="95"/>
      <c r="S177" s="414">
        <f t="shared" si="31"/>
        <v>0</v>
      </c>
      <c r="T177" s="415">
        <f t="shared" si="32"/>
        <v>0</v>
      </c>
      <c r="U177" s="88" t="s">
        <v>388</v>
      </c>
      <c r="V177" s="87"/>
      <c r="W177" s="174" t="s">
        <v>415</v>
      </c>
      <c r="X177" s="130">
        <f>X175*0.07</f>
        <v>11.200000000000001</v>
      </c>
      <c r="Y177" s="95"/>
      <c r="Z177" s="414">
        <f t="shared" si="33"/>
        <v>5.6000000000000005</v>
      </c>
      <c r="AA177" s="415">
        <f t="shared" si="34"/>
        <v>5.6000000000000005</v>
      </c>
      <c r="AB177" s="88" t="s">
        <v>388</v>
      </c>
      <c r="AC177" s="87"/>
      <c r="AD177" s="174" t="s">
        <v>415</v>
      </c>
      <c r="AE177" s="130">
        <f>AE175*0.07</f>
        <v>11.9</v>
      </c>
      <c r="AF177" s="95"/>
      <c r="AG177" s="414">
        <f t="shared" si="35"/>
        <v>0.6999999999999993</v>
      </c>
      <c r="AH177" s="415">
        <f t="shared" si="36"/>
        <v>6.3</v>
      </c>
      <c r="AI177" s="88" t="s">
        <v>388</v>
      </c>
      <c r="AJ177" s="87"/>
      <c r="AK177" s="174" t="s">
        <v>415</v>
      </c>
      <c r="AL177" s="130">
        <f>AL175*0.07</f>
        <v>12.600000000000001</v>
      </c>
      <c r="AM177" s="95"/>
      <c r="AN177" s="414">
        <f t="shared" si="37"/>
        <v>0.7000000000000011</v>
      </c>
      <c r="AO177" s="415">
        <f t="shared" si="38"/>
        <v>7.000000000000001</v>
      </c>
    </row>
    <row r="178" spans="2:41" ht="12.75">
      <c r="B178" s="179" t="s">
        <v>385</v>
      </c>
      <c r="C178" s="114">
        <v>0.07</v>
      </c>
      <c r="D178" s="114" t="s">
        <v>416</v>
      </c>
      <c r="E178" s="173">
        <f>(E173+E176+E179+E180+E181)*C178</f>
        <v>33.64515</v>
      </c>
      <c r="F178" s="177"/>
      <c r="G178" s="335"/>
      <c r="H178" s="179" t="s">
        <v>385</v>
      </c>
      <c r="I178" s="114">
        <v>0.07</v>
      </c>
      <c r="J178" s="114" t="s">
        <v>416</v>
      </c>
      <c r="K178" s="173">
        <f>(K173+K174+K176+K179+K180+K181)*I178</f>
        <v>47.1233</v>
      </c>
      <c r="L178" s="177"/>
      <c r="M178" s="335">
        <f t="shared" si="30"/>
        <v>13.47815</v>
      </c>
      <c r="N178" s="179" t="s">
        <v>385</v>
      </c>
      <c r="O178" s="114">
        <v>0.07</v>
      </c>
      <c r="P178" s="114" t="s">
        <v>416</v>
      </c>
      <c r="Q178" s="173">
        <f>(Q173+Q174+Q176+Q179+Q180+Q181)*O178</f>
        <v>50.31810000000001</v>
      </c>
      <c r="R178" s="177"/>
      <c r="S178" s="414">
        <f t="shared" si="31"/>
        <v>3.194800000000008</v>
      </c>
      <c r="T178" s="415">
        <f t="shared" si="32"/>
        <v>16.672950000000007</v>
      </c>
      <c r="U178" s="179" t="s">
        <v>385</v>
      </c>
      <c r="V178" s="114">
        <v>0.07</v>
      </c>
      <c r="W178" s="114" t="s">
        <v>416</v>
      </c>
      <c r="X178" s="173">
        <f>(X173+X174+X176+X179+X180+X181)*V178</f>
        <v>52.15511</v>
      </c>
      <c r="Y178" s="177"/>
      <c r="Z178" s="414">
        <f t="shared" si="33"/>
        <v>1.8370099999999923</v>
      </c>
      <c r="AA178" s="415">
        <f t="shared" si="34"/>
        <v>1.8370099999999923</v>
      </c>
      <c r="AB178" s="179" t="s">
        <v>385</v>
      </c>
      <c r="AC178" s="114">
        <v>0.07</v>
      </c>
      <c r="AD178" s="114" t="s">
        <v>416</v>
      </c>
      <c r="AE178" s="173">
        <f>(AE173+AE174+AE176+AE179+AE180+AE181)*AC178</f>
        <v>53.91225000000001</v>
      </c>
      <c r="AF178" s="177"/>
      <c r="AG178" s="414">
        <f t="shared" si="35"/>
        <v>1.7571400000000068</v>
      </c>
      <c r="AH178" s="415">
        <f t="shared" si="36"/>
        <v>3.594149999999999</v>
      </c>
      <c r="AI178" s="179" t="s">
        <v>385</v>
      </c>
      <c r="AJ178" s="114">
        <v>0.07</v>
      </c>
      <c r="AK178" s="114" t="s">
        <v>416</v>
      </c>
      <c r="AL178" s="173">
        <f>(AL173+AL174+AL176+AL179+AL180+AL181)*AJ178</f>
        <v>56.00484400000001</v>
      </c>
      <c r="AM178" s="177"/>
      <c r="AN178" s="414">
        <f t="shared" si="37"/>
        <v>2.0925940000000054</v>
      </c>
      <c r="AO178" s="415">
        <f t="shared" si="38"/>
        <v>5.6867440000000045</v>
      </c>
    </row>
    <row r="179" spans="2:41" ht="12.75">
      <c r="B179" s="171" t="s">
        <v>381</v>
      </c>
      <c r="C179" s="172"/>
      <c r="D179" s="174" t="s">
        <v>397</v>
      </c>
      <c r="E179" s="173">
        <f>puntosproljor*proljoroct07</f>
        <v>0</v>
      </c>
      <c r="F179" s="177"/>
      <c r="G179" s="335"/>
      <c r="H179" s="171" t="s">
        <v>381</v>
      </c>
      <c r="I179" s="172"/>
      <c r="J179" s="174" t="s">
        <v>397</v>
      </c>
      <c r="K179" s="173">
        <f>puntosproljor*proljormar08</f>
        <v>0</v>
      </c>
      <c r="L179" s="177"/>
      <c r="M179" s="335">
        <f t="shared" si="30"/>
        <v>0</v>
      </c>
      <c r="N179" s="171" t="s">
        <v>381</v>
      </c>
      <c r="O179" s="172"/>
      <c r="P179" s="174" t="s">
        <v>397</v>
      </c>
      <c r="Q179" s="173">
        <f>puntosproljor*proljorjul08</f>
        <v>0</v>
      </c>
      <c r="R179" s="177"/>
      <c r="S179" s="414">
        <f t="shared" si="31"/>
        <v>0</v>
      </c>
      <c r="T179" s="415">
        <f t="shared" si="32"/>
        <v>0</v>
      </c>
      <c r="U179" s="171" t="s">
        <v>381</v>
      </c>
      <c r="V179" s="172"/>
      <c r="W179" s="174" t="s">
        <v>397</v>
      </c>
      <c r="X179" s="173">
        <f>puntosproljor*proljorago08</f>
        <v>0</v>
      </c>
      <c r="Y179" s="177"/>
      <c r="Z179" s="414">
        <f t="shared" si="33"/>
        <v>0</v>
      </c>
      <c r="AA179" s="415">
        <f t="shared" si="34"/>
        <v>0</v>
      </c>
      <c r="AB179" s="171" t="s">
        <v>381</v>
      </c>
      <c r="AC179" s="172"/>
      <c r="AD179" s="174" t="s">
        <v>397</v>
      </c>
      <c r="AE179" s="173">
        <f>puntosproljor*proljoroct08</f>
        <v>0</v>
      </c>
      <c r="AF179" s="177"/>
      <c r="AG179" s="414">
        <f t="shared" si="35"/>
        <v>0</v>
      </c>
      <c r="AH179" s="415">
        <f t="shared" si="36"/>
        <v>0</v>
      </c>
      <c r="AI179" s="171" t="s">
        <v>381</v>
      </c>
      <c r="AJ179" s="172"/>
      <c r="AK179" s="174" t="s">
        <v>397</v>
      </c>
      <c r="AL179" s="173">
        <f>puntosproljor*proljordic08</f>
        <v>0</v>
      </c>
      <c r="AM179" s="177"/>
      <c r="AN179" s="414">
        <f t="shared" si="37"/>
        <v>0</v>
      </c>
      <c r="AO179" s="415">
        <f t="shared" si="38"/>
        <v>0</v>
      </c>
    </row>
    <row r="180" spans="2:41" ht="12.75">
      <c r="B180" s="171" t="s">
        <v>380</v>
      </c>
      <c r="C180" s="172"/>
      <c r="D180" s="114" t="s">
        <v>398</v>
      </c>
      <c r="E180" s="173">
        <f>D162*indicesep07</f>
        <v>0</v>
      </c>
      <c r="F180" s="177"/>
      <c r="G180" s="335"/>
      <c r="H180" s="171" t="s">
        <v>380</v>
      </c>
      <c r="I180" s="172"/>
      <c r="J180" s="114" t="s">
        <v>398</v>
      </c>
      <c r="K180" s="173">
        <f>D162*indicemar08</f>
        <v>0</v>
      </c>
      <c r="L180" s="177"/>
      <c r="M180" s="335">
        <f t="shared" si="30"/>
        <v>0</v>
      </c>
      <c r="N180" s="171" t="s">
        <v>380</v>
      </c>
      <c r="O180" s="172"/>
      <c r="P180" s="114" t="s">
        <v>398</v>
      </c>
      <c r="Q180" s="173">
        <f>D162*indicejul08</f>
        <v>0</v>
      </c>
      <c r="R180" s="177"/>
      <c r="S180" s="414">
        <f t="shared" si="31"/>
        <v>0</v>
      </c>
      <c r="T180" s="415">
        <f t="shared" si="32"/>
        <v>0</v>
      </c>
      <c r="U180" s="171" t="s">
        <v>380</v>
      </c>
      <c r="V180" s="172"/>
      <c r="W180" s="114" t="s">
        <v>398</v>
      </c>
      <c r="X180" s="173">
        <f>K162*indiceago08</f>
        <v>0</v>
      </c>
      <c r="Y180" s="177"/>
      <c r="Z180" s="414">
        <f t="shared" si="33"/>
        <v>0</v>
      </c>
      <c r="AA180" s="415">
        <f t="shared" si="34"/>
        <v>0</v>
      </c>
      <c r="AB180" s="171" t="s">
        <v>380</v>
      </c>
      <c r="AC180" s="172"/>
      <c r="AD180" s="114" t="s">
        <v>398</v>
      </c>
      <c r="AE180" s="173">
        <f>R162*indiceoct08</f>
        <v>0</v>
      </c>
      <c r="AF180" s="177"/>
      <c r="AG180" s="414">
        <f t="shared" si="35"/>
        <v>0</v>
      </c>
      <c r="AH180" s="415">
        <f t="shared" si="36"/>
        <v>0</v>
      </c>
      <c r="AI180" s="171" t="s">
        <v>380</v>
      </c>
      <c r="AJ180" s="172"/>
      <c r="AK180" s="114" t="s">
        <v>398</v>
      </c>
      <c r="AL180" s="173">
        <f>Y162*indicedic08</f>
        <v>0</v>
      </c>
      <c r="AM180" s="177"/>
      <c r="AN180" s="414">
        <f t="shared" si="37"/>
        <v>0</v>
      </c>
      <c r="AO180" s="415">
        <f t="shared" si="38"/>
        <v>0</v>
      </c>
    </row>
    <row r="181" spans="2:41" ht="15">
      <c r="B181" s="171" t="s">
        <v>379</v>
      </c>
      <c r="C181" s="89">
        <v>0</v>
      </c>
      <c r="D181" s="114" t="s">
        <v>455</v>
      </c>
      <c r="E181" s="180">
        <f>(E173+E179+E180)*C181</f>
        <v>0</v>
      </c>
      <c r="F181" s="181"/>
      <c r="G181" s="335"/>
      <c r="H181" s="171" t="s">
        <v>379</v>
      </c>
      <c r="I181" s="385">
        <f>C181</f>
        <v>0</v>
      </c>
      <c r="J181" s="114" t="s">
        <v>455</v>
      </c>
      <c r="K181" s="180">
        <f>(K173+K174+K179+K180)*I181</f>
        <v>0</v>
      </c>
      <c r="L181" s="181"/>
      <c r="M181" s="335">
        <f t="shared" si="30"/>
        <v>0</v>
      </c>
      <c r="N181" s="171" t="s">
        <v>379</v>
      </c>
      <c r="O181" s="385">
        <f>I181</f>
        <v>0</v>
      </c>
      <c r="P181" s="114" t="s">
        <v>455</v>
      </c>
      <c r="Q181" s="180">
        <f>(Q173+Q174+Q179+Q180)*O181</f>
        <v>0</v>
      </c>
      <c r="R181" s="181"/>
      <c r="S181" s="414">
        <f t="shared" si="31"/>
        <v>0</v>
      </c>
      <c r="T181" s="415">
        <f t="shared" si="32"/>
        <v>0</v>
      </c>
      <c r="U181" s="171" t="s">
        <v>379</v>
      </c>
      <c r="V181" s="385">
        <f>O181</f>
        <v>0</v>
      </c>
      <c r="W181" s="114" t="s">
        <v>455</v>
      </c>
      <c r="X181" s="180">
        <f>(X173+X174+X179+X180)*V181</f>
        <v>0</v>
      </c>
      <c r="Y181" s="181"/>
      <c r="Z181" s="414">
        <f t="shared" si="33"/>
        <v>0</v>
      </c>
      <c r="AA181" s="415">
        <f t="shared" si="34"/>
        <v>0</v>
      </c>
      <c r="AB181" s="171" t="s">
        <v>379</v>
      </c>
      <c r="AC181" s="385">
        <f>V181</f>
        <v>0</v>
      </c>
      <c r="AD181" s="114" t="s">
        <v>455</v>
      </c>
      <c r="AE181" s="180">
        <f>(AE173+AE174+AE179+AE180)*AC181</f>
        <v>0</v>
      </c>
      <c r="AF181" s="181"/>
      <c r="AG181" s="414">
        <f t="shared" si="35"/>
        <v>0</v>
      </c>
      <c r="AH181" s="415">
        <f t="shared" si="36"/>
        <v>0</v>
      </c>
      <c r="AI181" s="171" t="s">
        <v>379</v>
      </c>
      <c r="AJ181" s="385">
        <f>AC181</f>
        <v>0</v>
      </c>
      <c r="AK181" s="114" t="s">
        <v>455</v>
      </c>
      <c r="AL181" s="180">
        <f>(AL173+AL174+AL179+AL180)*AJ181</f>
        <v>0</v>
      </c>
      <c r="AM181" s="181"/>
      <c r="AN181" s="414">
        <f t="shared" si="37"/>
        <v>0</v>
      </c>
      <c r="AO181" s="415">
        <f t="shared" si="38"/>
        <v>0</v>
      </c>
    </row>
    <row r="182" spans="2:41" ht="12.75">
      <c r="B182" s="179" t="s">
        <v>386</v>
      </c>
      <c r="C182" s="172"/>
      <c r="D182" s="258" t="s">
        <v>403</v>
      </c>
      <c r="E182" s="259">
        <f>IF(E169&lt;1300,IF(E173+E176+E179+E180+E178+F190+F191+F192+0.196*F189+((E175+E181)*0.20972)-E181*0.07+E185+E187&gt;(salminimofeb07),0,(salminimofeb07)-(E173+E176+E179+E180+E178+F190+F191+F192+0.196*F189+((E175+E181)*0.20972)-E181*0.07+E185+E187)),0)</f>
        <v>416.51071939999997</v>
      </c>
      <c r="F182" s="256"/>
      <c r="G182" s="335"/>
      <c r="H182" s="179" t="s">
        <v>386</v>
      </c>
      <c r="I182" s="172"/>
      <c r="J182" s="258" t="s">
        <v>403</v>
      </c>
      <c r="K182" s="259">
        <f>IF(E169&lt;1300,IF(K173+K174+K176+K179+K180+K178+L190+L191+L192+0.196*L189+((K175+K181)*0.20972)-K181*0.07+K185+K187&gt;(salminimomar08),0,(salminimomar08)-(K173+K174+K176+K179+K180+K178+L190+L191+L192+0.196*L189+((K175+K181)*0.20972)-K181*0.07+K185+K187)),0)</f>
        <v>500.8681068000001</v>
      </c>
      <c r="L182" s="256"/>
      <c r="M182" s="335">
        <f t="shared" si="30"/>
        <v>84.3573874000001</v>
      </c>
      <c r="N182" s="179" t="s">
        <v>386</v>
      </c>
      <c r="O182" s="172"/>
      <c r="P182" s="258" t="s">
        <v>403</v>
      </c>
      <c r="Q182" s="259">
        <f>IF(E169&lt;1300,IF(Q173+Q174+Q176+Q179+Q180+Q178+R190+R191+R192+0.196*R189+((Q175+Q181)*0.20972)-Q181*0.07+Q185+Q187&gt;(salminimojul08),0,(salminimojul08)-(Q173+Q174+Q176+Q179+Q180+Q178+R190+R191+R192+0.196*R189+((Q175+Q181)*0.20972)-Q181*0.07+Q185+Q187)),0)</f>
        <v>461.6049275999999</v>
      </c>
      <c r="R182" s="256"/>
      <c r="S182" s="414">
        <f t="shared" si="31"/>
        <v>-39.263179200000195</v>
      </c>
      <c r="T182" s="415">
        <f t="shared" si="32"/>
        <v>45.09420819999991</v>
      </c>
      <c r="U182" s="179" t="s">
        <v>386</v>
      </c>
      <c r="V182" s="172"/>
      <c r="W182" s="258" t="s">
        <v>403</v>
      </c>
      <c r="X182" s="259">
        <f>IF(E169&lt;1300,IF(X173+X174+X176+X179+X180+X178+Y190+Y191+Y192+0.196*Y189+((X175+X181)*0.20972)-X181*0.07+X185+X187&gt;(salminimojul08),0,(salminimojul08)-(X173+X174+X176+X179+X180+X178+Y190+Y191+Y192+0.196*Y189+((X175+X181)*0.20972)-X181*0.07+X185+X187)),0)</f>
        <v>439.02859955999986</v>
      </c>
      <c r="Y182" s="256"/>
      <c r="Z182" s="414">
        <f t="shared" si="33"/>
        <v>-22.57632804000002</v>
      </c>
      <c r="AA182" s="415">
        <f t="shared" si="34"/>
        <v>-22.57632804000002</v>
      </c>
      <c r="AB182" s="179" t="s">
        <v>386</v>
      </c>
      <c r="AC182" s="172"/>
      <c r="AD182" s="258" t="s">
        <v>403</v>
      </c>
      <c r="AE182" s="259">
        <f>IF(L169&lt;1300,IF(AE173+AE174+AE176+AE179+AE180+AE178+AF190+AF191+AF192+0.196*AF189+((AE175+AE181)*0.20972)-AE181*0.07+AE185+AE187&gt;(salminimojul08),0,(salminimojul08)-(AE173+AE174+AE176+AE179+AE180+AE178+AF190+AF191+AF192+0.196*AF189+((AE175+AE181)*0.20972)-AE181*0.07+AE185+AE187)),0)</f>
        <v>417.4338509999998</v>
      </c>
      <c r="AF182" s="256"/>
      <c r="AG182" s="414">
        <f t="shared" si="35"/>
        <v>-21.594748560000085</v>
      </c>
      <c r="AH182" s="415">
        <f t="shared" si="36"/>
        <v>-44.171076600000106</v>
      </c>
      <c r="AI182" s="179" t="s">
        <v>386</v>
      </c>
      <c r="AJ182" s="172"/>
      <c r="AK182" s="258" t="s">
        <v>403</v>
      </c>
      <c r="AL182" s="259">
        <f>IF(S169&lt;1300,IF(AL173+AL174+AL176+AL179+AL180+AL178+AM190+AM191+AM192+0.196*AM189+((AL175+AL181)*0.20972)-AL181*0.07+AL185+AL187&gt;(salminimojul08),0,(salminimojul08)-(AL173+AL174+AL176+AL179+AL180+AL178+AM190+AM191+AM192+0.196*AM189+((AL175+AL181)*0.20972)-AL181*0.07+AL185+AL187)),0)</f>
        <v>391.71646862399984</v>
      </c>
      <c r="AM182" s="256"/>
      <c r="AN182" s="414">
        <f t="shared" si="37"/>
        <v>-25.717382375999932</v>
      </c>
      <c r="AO182" s="415">
        <f t="shared" si="38"/>
        <v>-69.88845897600004</v>
      </c>
    </row>
    <row r="183" spans="2:41" ht="16.5" thickBot="1">
      <c r="B183" s="182" t="s">
        <v>399</v>
      </c>
      <c r="C183" s="183" t="s">
        <v>400</v>
      </c>
      <c r="D183" s="131"/>
      <c r="E183" s="133">
        <v>0</v>
      </c>
      <c r="F183" s="254"/>
      <c r="G183" s="335"/>
      <c r="H183" s="182" t="s">
        <v>399</v>
      </c>
      <c r="I183" s="183" t="s">
        <v>400</v>
      </c>
      <c r="J183" s="131"/>
      <c r="K183" s="322">
        <f>E183</f>
        <v>0</v>
      </c>
      <c r="L183" s="254"/>
      <c r="M183" s="335">
        <f t="shared" si="30"/>
        <v>0</v>
      </c>
      <c r="N183" s="182" t="s">
        <v>399</v>
      </c>
      <c r="O183" s="183" t="s">
        <v>400</v>
      </c>
      <c r="P183" s="131"/>
      <c r="Q183" s="322">
        <f>K183</f>
        <v>0</v>
      </c>
      <c r="R183" s="254"/>
      <c r="S183" s="414">
        <f t="shared" si="31"/>
        <v>0</v>
      </c>
      <c r="T183" s="415">
        <f t="shared" si="32"/>
        <v>0</v>
      </c>
      <c r="U183" s="182" t="s">
        <v>399</v>
      </c>
      <c r="V183" s="183" t="s">
        <v>400</v>
      </c>
      <c r="W183" s="131"/>
      <c r="X183" s="322">
        <f>R183</f>
        <v>0</v>
      </c>
      <c r="Y183" s="254"/>
      <c r="Z183" s="414">
        <f t="shared" si="33"/>
        <v>0</v>
      </c>
      <c r="AA183" s="415">
        <f t="shared" si="34"/>
        <v>0</v>
      </c>
      <c r="AB183" s="182" t="s">
        <v>399</v>
      </c>
      <c r="AC183" s="183" t="s">
        <v>400</v>
      </c>
      <c r="AD183" s="131"/>
      <c r="AE183" s="322">
        <f>Y183</f>
        <v>0</v>
      </c>
      <c r="AF183" s="254"/>
      <c r="AG183" s="414">
        <f t="shared" si="35"/>
        <v>0</v>
      </c>
      <c r="AH183" s="415">
        <f t="shared" si="36"/>
        <v>0</v>
      </c>
      <c r="AI183" s="182" t="s">
        <v>399</v>
      </c>
      <c r="AJ183" s="183" t="s">
        <v>400</v>
      </c>
      <c r="AK183" s="131"/>
      <c r="AL183" s="322">
        <f>AF183</f>
        <v>0</v>
      </c>
      <c r="AM183" s="254"/>
      <c r="AN183" s="414">
        <f t="shared" si="37"/>
        <v>0</v>
      </c>
      <c r="AO183" s="415">
        <f t="shared" si="38"/>
        <v>0</v>
      </c>
    </row>
    <row r="184" spans="2:41" ht="16.5" thickBot="1">
      <c r="B184" s="182"/>
      <c r="C184" s="184"/>
      <c r="D184" s="185" t="s">
        <v>402</v>
      </c>
      <c r="E184" s="186">
        <f>SUM(E173:E183)</f>
        <v>1016.4008693999999</v>
      </c>
      <c r="F184" s="255"/>
      <c r="G184" s="335"/>
      <c r="H184" s="182"/>
      <c r="I184" s="184"/>
      <c r="J184" s="185" t="s">
        <v>402</v>
      </c>
      <c r="K184" s="186">
        <f>SUM(K173:K183)</f>
        <v>1306.7814068</v>
      </c>
      <c r="L184" s="255"/>
      <c r="M184" s="335">
        <f t="shared" si="30"/>
        <v>290.3805374000001</v>
      </c>
      <c r="N184" s="182"/>
      <c r="O184" s="184"/>
      <c r="P184" s="185" t="s">
        <v>402</v>
      </c>
      <c r="Q184" s="186">
        <f>SUM(Q173:Q183)</f>
        <v>1316.3530276</v>
      </c>
      <c r="R184" s="255"/>
      <c r="S184" s="414">
        <f t="shared" si="31"/>
        <v>9.571620799999891</v>
      </c>
      <c r="T184" s="415">
        <f t="shared" si="32"/>
        <v>299.9521582</v>
      </c>
      <c r="U184" s="182"/>
      <c r="V184" s="184"/>
      <c r="W184" s="185" t="s">
        <v>402</v>
      </c>
      <c r="X184" s="186">
        <f>SUM(X173:X183)</f>
        <v>1407.45670956</v>
      </c>
      <c r="Y184" s="255"/>
      <c r="Z184" s="414">
        <f t="shared" si="33"/>
        <v>91.10368196000013</v>
      </c>
      <c r="AA184" s="415">
        <f t="shared" si="34"/>
        <v>91.10368196000013</v>
      </c>
      <c r="AB184" s="182"/>
      <c r="AC184" s="184"/>
      <c r="AD184" s="185" t="s">
        <v>402</v>
      </c>
      <c r="AE184" s="186">
        <f>SUM(AE173:AE183)</f>
        <v>1423.421101</v>
      </c>
      <c r="AF184" s="255"/>
      <c r="AG184" s="414">
        <f t="shared" si="35"/>
        <v>15.964391439999872</v>
      </c>
      <c r="AH184" s="415">
        <f t="shared" si="36"/>
        <v>107.0680734</v>
      </c>
      <c r="AI184" s="182"/>
      <c r="AJ184" s="184"/>
      <c r="AK184" s="185" t="s">
        <v>402</v>
      </c>
      <c r="AL184" s="186">
        <f>SUM(AL173:AL183)</f>
        <v>1440.390512624</v>
      </c>
      <c r="AM184" s="255"/>
      <c r="AN184" s="414">
        <f t="shared" si="37"/>
        <v>16.96941162400003</v>
      </c>
      <c r="AO184" s="415">
        <f t="shared" si="38"/>
        <v>124.03748502400003</v>
      </c>
    </row>
    <row r="185" spans="2:41" ht="15.75">
      <c r="B185" s="175" t="s">
        <v>389</v>
      </c>
      <c r="C185" s="268">
        <v>1</v>
      </c>
      <c r="D185" s="187" t="s">
        <v>401</v>
      </c>
      <c r="E185" s="269">
        <f>IF(puntosproljor&lt;620,110,220)*C185</f>
        <v>110</v>
      </c>
      <c r="F185" s="254"/>
      <c r="G185" s="335"/>
      <c r="H185" s="175" t="s">
        <v>389</v>
      </c>
      <c r="I185" s="387">
        <f>C185</f>
        <v>1</v>
      </c>
      <c r="J185" s="187" t="s">
        <v>401</v>
      </c>
      <c r="K185" s="269">
        <f>IF(puntosproljor&lt;620,110,220)*I185</f>
        <v>110</v>
      </c>
      <c r="L185" s="254"/>
      <c r="M185" s="335">
        <f t="shared" si="30"/>
        <v>0</v>
      </c>
      <c r="N185" s="175" t="s">
        <v>389</v>
      </c>
      <c r="O185" s="387">
        <f>I185</f>
        <v>1</v>
      </c>
      <c r="P185" s="187" t="s">
        <v>401</v>
      </c>
      <c r="Q185" s="269">
        <f>IF(puntosproljor&lt;620,110,220)*O185</f>
        <v>110</v>
      </c>
      <c r="R185" s="254"/>
      <c r="S185" s="414">
        <f t="shared" si="31"/>
        <v>0</v>
      </c>
      <c r="T185" s="415">
        <f t="shared" si="32"/>
        <v>0</v>
      </c>
      <c r="U185" s="175" t="s">
        <v>389</v>
      </c>
      <c r="V185" s="387">
        <f>O185</f>
        <v>1</v>
      </c>
      <c r="W185" s="187" t="s">
        <v>401</v>
      </c>
      <c r="X185" s="269">
        <f>IF(puntosproljor&lt;620,110,220)*V185</f>
        <v>110</v>
      </c>
      <c r="Y185" s="254"/>
      <c r="Z185" s="414">
        <f t="shared" si="33"/>
        <v>0</v>
      </c>
      <c r="AA185" s="415">
        <f t="shared" si="34"/>
        <v>0</v>
      </c>
      <c r="AB185" s="175" t="s">
        <v>389</v>
      </c>
      <c r="AC185" s="387">
        <f>V185</f>
        <v>1</v>
      </c>
      <c r="AD185" s="187" t="s">
        <v>401</v>
      </c>
      <c r="AE185" s="269">
        <f>IF(puntosproljor&lt;620,110,220)*AC185</f>
        <v>110</v>
      </c>
      <c r="AF185" s="254"/>
      <c r="AG185" s="414">
        <f t="shared" si="35"/>
        <v>0</v>
      </c>
      <c r="AH185" s="415">
        <f t="shared" si="36"/>
        <v>0</v>
      </c>
      <c r="AI185" s="175" t="s">
        <v>389</v>
      </c>
      <c r="AJ185" s="387">
        <f>AC185</f>
        <v>1</v>
      </c>
      <c r="AK185" s="187" t="s">
        <v>401</v>
      </c>
      <c r="AL185" s="269">
        <f>IF(puntosproljor&lt;620,110,220)*AJ185</f>
        <v>110</v>
      </c>
      <c r="AM185" s="254"/>
      <c r="AN185" s="414">
        <f t="shared" si="37"/>
        <v>0</v>
      </c>
      <c r="AO185" s="415">
        <f t="shared" si="38"/>
        <v>0</v>
      </c>
    </row>
    <row r="186" spans="2:41" ht="15.75">
      <c r="B186" s="175" t="s">
        <v>395</v>
      </c>
      <c r="C186" s="268"/>
      <c r="D186" s="183" t="s">
        <v>404</v>
      </c>
      <c r="E186" s="365">
        <v>0</v>
      </c>
      <c r="F186" s="254"/>
      <c r="G186" s="335"/>
      <c r="H186" s="175" t="s">
        <v>395</v>
      </c>
      <c r="I186" s="268"/>
      <c r="J186" s="183" t="s">
        <v>404</v>
      </c>
      <c r="K186" s="388">
        <f>E186</f>
        <v>0</v>
      </c>
      <c r="L186" s="254"/>
      <c r="M186" s="335">
        <f t="shared" si="30"/>
        <v>0</v>
      </c>
      <c r="N186" s="175" t="s">
        <v>395</v>
      </c>
      <c r="O186" s="268"/>
      <c r="P186" s="183" t="s">
        <v>404</v>
      </c>
      <c r="Q186" s="388">
        <f>K186</f>
        <v>0</v>
      </c>
      <c r="R186" s="254"/>
      <c r="S186" s="414">
        <f t="shared" si="31"/>
        <v>0</v>
      </c>
      <c r="T186" s="415">
        <f t="shared" si="32"/>
        <v>0</v>
      </c>
      <c r="U186" s="175" t="s">
        <v>395</v>
      </c>
      <c r="V186" s="268"/>
      <c r="W186" s="183" t="s">
        <v>404</v>
      </c>
      <c r="X186" s="388">
        <f>R186</f>
        <v>0</v>
      </c>
      <c r="Y186" s="254"/>
      <c r="Z186" s="414">
        <f t="shared" si="33"/>
        <v>0</v>
      </c>
      <c r="AA186" s="415">
        <f t="shared" si="34"/>
        <v>0</v>
      </c>
      <c r="AB186" s="175" t="s">
        <v>395</v>
      </c>
      <c r="AC186" s="268"/>
      <c r="AD186" s="183" t="s">
        <v>404</v>
      </c>
      <c r="AE186" s="388">
        <f>Y186</f>
        <v>0</v>
      </c>
      <c r="AF186" s="254"/>
      <c r="AG186" s="414">
        <f t="shared" si="35"/>
        <v>0</v>
      </c>
      <c r="AH186" s="415">
        <f t="shared" si="36"/>
        <v>0</v>
      </c>
      <c r="AI186" s="175" t="s">
        <v>395</v>
      </c>
      <c r="AJ186" s="268"/>
      <c r="AK186" s="183" t="s">
        <v>404</v>
      </c>
      <c r="AL186" s="388">
        <f>AF186</f>
        <v>0</v>
      </c>
      <c r="AM186" s="254"/>
      <c r="AN186" s="414">
        <f t="shared" si="37"/>
        <v>0</v>
      </c>
      <c r="AO186" s="415">
        <f t="shared" si="38"/>
        <v>0</v>
      </c>
    </row>
    <row r="187" spans="2:41" ht="16.5" thickBot="1">
      <c r="B187" s="175" t="s">
        <v>390</v>
      </c>
      <c r="C187" s="268">
        <v>1</v>
      </c>
      <c r="D187" s="183" t="s">
        <v>396</v>
      </c>
      <c r="E187" s="270">
        <f>IF(puntosproljor&lt;620,100,200)*C187</f>
        <v>100</v>
      </c>
      <c r="F187" s="254"/>
      <c r="G187" s="335"/>
      <c r="H187" s="175" t="s">
        <v>390</v>
      </c>
      <c r="I187" s="387">
        <f>C187</f>
        <v>1</v>
      </c>
      <c r="J187" s="183" t="s">
        <v>396</v>
      </c>
      <c r="K187" s="270">
        <f>IF(puntosproljor&lt;620,100,200)*I187</f>
        <v>100</v>
      </c>
      <c r="L187" s="254"/>
      <c r="M187" s="335">
        <f t="shared" si="30"/>
        <v>0</v>
      </c>
      <c r="N187" s="175" t="s">
        <v>390</v>
      </c>
      <c r="O187" s="387">
        <f>I187</f>
        <v>1</v>
      </c>
      <c r="P187" s="183" t="s">
        <v>396</v>
      </c>
      <c r="Q187" s="270">
        <f>IF(puntosproljor&lt;620,100,200)*O187</f>
        <v>100</v>
      </c>
      <c r="R187" s="254"/>
      <c r="S187" s="414">
        <f t="shared" si="31"/>
        <v>0</v>
      </c>
      <c r="T187" s="415">
        <f t="shared" si="32"/>
        <v>0</v>
      </c>
      <c r="U187" s="175" t="s">
        <v>390</v>
      </c>
      <c r="V187" s="387">
        <f>O187</f>
        <v>1</v>
      </c>
      <c r="W187" s="183" t="s">
        <v>396</v>
      </c>
      <c r="X187" s="270">
        <f>IF(puntosproljor&lt;620,100,200)*V187</f>
        <v>100</v>
      </c>
      <c r="Y187" s="254"/>
      <c r="Z187" s="414">
        <f t="shared" si="33"/>
        <v>0</v>
      </c>
      <c r="AA187" s="415">
        <f t="shared" si="34"/>
        <v>0</v>
      </c>
      <c r="AB187" s="175" t="s">
        <v>390</v>
      </c>
      <c r="AC187" s="387">
        <f>V187</f>
        <v>1</v>
      </c>
      <c r="AD187" s="183" t="s">
        <v>396</v>
      </c>
      <c r="AE187" s="270">
        <f>IF(puntosproljor&lt;620,100,200)*AC187</f>
        <v>100</v>
      </c>
      <c r="AF187" s="254"/>
      <c r="AG187" s="414">
        <f t="shared" si="35"/>
        <v>0</v>
      </c>
      <c r="AH187" s="415">
        <f t="shared" si="36"/>
        <v>0</v>
      </c>
      <c r="AI187" s="175" t="s">
        <v>390</v>
      </c>
      <c r="AJ187" s="387">
        <f>AC187</f>
        <v>1</v>
      </c>
      <c r="AK187" s="183" t="s">
        <v>396</v>
      </c>
      <c r="AL187" s="270">
        <f>IF(puntosproljor&lt;620,100,200)*AJ187</f>
        <v>100</v>
      </c>
      <c r="AM187" s="254"/>
      <c r="AN187" s="414">
        <f t="shared" si="37"/>
        <v>0</v>
      </c>
      <c r="AO187" s="415">
        <f t="shared" si="38"/>
        <v>0</v>
      </c>
    </row>
    <row r="188" spans="2:41" ht="16.5" thickBot="1">
      <c r="B188" s="182"/>
      <c r="C188" s="188"/>
      <c r="D188" s="189" t="s">
        <v>1</v>
      </c>
      <c r="E188" s="190">
        <f>E184+E185+E186+E187</f>
        <v>1226.4008694</v>
      </c>
      <c r="F188" s="191"/>
      <c r="G188" s="335"/>
      <c r="H188" s="182"/>
      <c r="I188" s="188"/>
      <c r="J188" s="189" t="s">
        <v>1</v>
      </c>
      <c r="K188" s="190">
        <f>K184+K185+K186+K187</f>
        <v>1516.7814068</v>
      </c>
      <c r="L188" s="191"/>
      <c r="M188" s="335">
        <f t="shared" si="30"/>
        <v>290.3805374000001</v>
      </c>
      <c r="N188" s="182"/>
      <c r="O188" s="188"/>
      <c r="P188" s="189" t="s">
        <v>1</v>
      </c>
      <c r="Q188" s="190">
        <f>Q184+Q185+Q186+Q187</f>
        <v>1526.3530276</v>
      </c>
      <c r="R188" s="191"/>
      <c r="S188" s="414">
        <f t="shared" si="31"/>
        <v>9.571620799999891</v>
      </c>
      <c r="T188" s="415">
        <f t="shared" si="32"/>
        <v>299.9521582</v>
      </c>
      <c r="U188" s="182"/>
      <c r="V188" s="188"/>
      <c r="W188" s="189" t="s">
        <v>1</v>
      </c>
      <c r="X188" s="190">
        <f>X184+X185+X186+X187</f>
        <v>1617.45670956</v>
      </c>
      <c r="Y188" s="191"/>
      <c r="Z188" s="414">
        <f t="shared" si="33"/>
        <v>91.10368196000013</v>
      </c>
      <c r="AA188" s="415">
        <f t="shared" si="34"/>
        <v>91.10368196000013</v>
      </c>
      <c r="AB188" s="182"/>
      <c r="AC188" s="188"/>
      <c r="AD188" s="189" t="s">
        <v>1</v>
      </c>
      <c r="AE188" s="190">
        <f>AE184+AE185+AE186+AE187</f>
        <v>1633.421101</v>
      </c>
      <c r="AF188" s="191"/>
      <c r="AG188" s="414">
        <f t="shared" si="35"/>
        <v>15.964391439999872</v>
      </c>
      <c r="AH188" s="415">
        <f t="shared" si="36"/>
        <v>107.0680734</v>
      </c>
      <c r="AI188" s="182"/>
      <c r="AJ188" s="188"/>
      <c r="AK188" s="189" t="s">
        <v>1</v>
      </c>
      <c r="AL188" s="190">
        <f>AL184+AL185+AL186+AL187</f>
        <v>1650.390512624</v>
      </c>
      <c r="AM188" s="191"/>
      <c r="AN188" s="414">
        <f t="shared" si="37"/>
        <v>16.96941162400003</v>
      </c>
      <c r="AO188" s="415">
        <f t="shared" si="38"/>
        <v>124.03748502400003</v>
      </c>
    </row>
    <row r="189" spans="2:41" ht="15.75">
      <c r="B189" s="175" t="s">
        <v>421</v>
      </c>
      <c r="C189" s="192"/>
      <c r="D189" s="193" t="s">
        <v>422</v>
      </c>
      <c r="E189" s="240">
        <v>0</v>
      </c>
      <c r="F189" s="194">
        <f>-E189</f>
        <v>0</v>
      </c>
      <c r="G189" s="34"/>
      <c r="H189" s="175" t="s">
        <v>421</v>
      </c>
      <c r="I189" s="192"/>
      <c r="J189" s="193" t="s">
        <v>422</v>
      </c>
      <c r="K189" s="324">
        <f>E189</f>
        <v>0</v>
      </c>
      <c r="L189" s="194">
        <f>-K189</f>
        <v>0</v>
      </c>
      <c r="M189" s="34">
        <f>L189-F189</f>
        <v>0</v>
      </c>
      <c r="N189" s="175" t="s">
        <v>421</v>
      </c>
      <c r="O189" s="192"/>
      <c r="P189" s="193" t="s">
        <v>422</v>
      </c>
      <c r="Q189" s="324">
        <f>K189</f>
        <v>0</v>
      </c>
      <c r="R189" s="194">
        <f>-Q189</f>
        <v>0</v>
      </c>
      <c r="S189" s="416">
        <f>R189-L189</f>
        <v>0</v>
      </c>
      <c r="T189" s="417">
        <f>R189-F189</f>
        <v>0</v>
      </c>
      <c r="U189" s="175" t="s">
        <v>421</v>
      </c>
      <c r="V189" s="192"/>
      <c r="W189" s="193" t="s">
        <v>422</v>
      </c>
      <c r="X189" s="324">
        <f>R189</f>
        <v>0</v>
      </c>
      <c r="Y189" s="194">
        <f>-X189</f>
        <v>0</v>
      </c>
      <c r="Z189" s="416">
        <f>Y189-R189</f>
        <v>0</v>
      </c>
      <c r="AA189" s="417">
        <f>Y189-R189</f>
        <v>0</v>
      </c>
      <c r="AB189" s="175" t="s">
        <v>421</v>
      </c>
      <c r="AC189" s="192"/>
      <c r="AD189" s="193" t="s">
        <v>422</v>
      </c>
      <c r="AE189" s="324">
        <f>Y189</f>
        <v>0</v>
      </c>
      <c r="AF189" s="194">
        <f>-AE189</f>
        <v>0</v>
      </c>
      <c r="AG189" s="416">
        <f>AF189-Y189</f>
        <v>0</v>
      </c>
      <c r="AH189" s="417">
        <f>AF189-R189</f>
        <v>0</v>
      </c>
      <c r="AI189" s="175" t="s">
        <v>421</v>
      </c>
      <c r="AJ189" s="192"/>
      <c r="AK189" s="193" t="s">
        <v>422</v>
      </c>
      <c r="AL189" s="324">
        <f>AF189</f>
        <v>0</v>
      </c>
      <c r="AM189" s="194">
        <f>-AL189</f>
        <v>0</v>
      </c>
      <c r="AN189" s="416">
        <f>AM189-AF189</f>
        <v>0</v>
      </c>
      <c r="AO189" s="417">
        <f>AM189-R189</f>
        <v>0</v>
      </c>
    </row>
    <row r="190" spans="2:41" ht="15.75">
      <c r="B190" s="171" t="s">
        <v>391</v>
      </c>
      <c r="C190" s="195">
        <v>0.16</v>
      </c>
      <c r="D190" s="196" t="s">
        <v>412</v>
      </c>
      <c r="E190" s="323"/>
      <c r="F190" s="197">
        <f>-(E173+E176+E178+E175+E177+E179+E180+E181+F189)*C190</f>
        <v>-95.98242400000001</v>
      </c>
      <c r="G190" s="34"/>
      <c r="H190" s="171" t="s">
        <v>391</v>
      </c>
      <c r="I190" s="195">
        <v>0.16</v>
      </c>
      <c r="J190" s="196" t="s">
        <v>412</v>
      </c>
      <c r="K190" s="323"/>
      <c r="L190" s="197">
        <f>-(K173+K174+K176+K178+K175+K177+K179+K180+K181+L189)*I190</f>
        <v>-128.946128</v>
      </c>
      <c r="M190" s="34">
        <f aca="true" t="shared" si="39" ref="M190:M195">L190-F190</f>
        <v>-32.96370399999998</v>
      </c>
      <c r="N190" s="171" t="s">
        <v>391</v>
      </c>
      <c r="O190" s="195">
        <v>0.16</v>
      </c>
      <c r="P190" s="196" t="s">
        <v>412</v>
      </c>
      <c r="Q190" s="323"/>
      <c r="R190" s="197">
        <f>-(Q173+Q174+Q176+Q178+Q175+Q177+Q179+Q180+Q181+R189)*O190</f>
        <v>-136.75969600000002</v>
      </c>
      <c r="S190" s="416">
        <f aca="true" t="shared" si="40" ref="S190:S195">R190-L190</f>
        <v>-7.813568000000032</v>
      </c>
      <c r="T190" s="417">
        <f aca="true" t="shared" si="41" ref="T190:T195">R190-F190</f>
        <v>-40.77727200000001</v>
      </c>
      <c r="U190" s="171" t="s">
        <v>391</v>
      </c>
      <c r="V190" s="195">
        <v>0.16</v>
      </c>
      <c r="W190" s="196" t="s">
        <v>412</v>
      </c>
      <c r="X190" s="323"/>
      <c r="Y190" s="197">
        <f>-(X173+X174+X176+X178+X175+X177+X179+X180+X181+Y189)*V190</f>
        <v>-154.94849760000002</v>
      </c>
      <c r="Z190" s="416">
        <f aca="true" t="shared" si="42" ref="Z190:Z195">Y190-R190</f>
        <v>-18.188801600000005</v>
      </c>
      <c r="AA190" s="417">
        <f aca="true" t="shared" si="43" ref="AA190:AA195">Y190-R190</f>
        <v>-18.188801600000005</v>
      </c>
      <c r="AB190" s="171" t="s">
        <v>391</v>
      </c>
      <c r="AC190" s="195">
        <v>0.16</v>
      </c>
      <c r="AD190" s="196" t="s">
        <v>412</v>
      </c>
      <c r="AE190" s="323"/>
      <c r="AF190" s="197">
        <f>-(AE173+AE174+AE176+AE178+AE175+AE177+AE179+AE180+AE181+AF189)*AC190</f>
        <v>-160.95796</v>
      </c>
      <c r="AG190" s="416">
        <f aca="true" t="shared" si="44" ref="AG190:AG195">AF190-Y190</f>
        <v>-6.00946239999999</v>
      </c>
      <c r="AH190" s="417">
        <f aca="true" t="shared" si="45" ref="AH190:AH195">AF190-R190</f>
        <v>-24.198263999999995</v>
      </c>
      <c r="AI190" s="171" t="s">
        <v>391</v>
      </c>
      <c r="AJ190" s="195">
        <v>0.16</v>
      </c>
      <c r="AK190" s="196" t="s">
        <v>412</v>
      </c>
      <c r="AL190" s="323"/>
      <c r="AM190" s="197">
        <f>-(AL173+AL174+AL176+AL178+AL175+AL177+AL179+AL180+AL181+AM189)*AJ190</f>
        <v>-167.78784704000003</v>
      </c>
      <c r="AN190" s="416">
        <f aca="true" t="shared" si="46" ref="AN190:AN195">AM190-AF190</f>
        <v>-6.829887040000017</v>
      </c>
      <c r="AO190" s="417">
        <f aca="true" t="shared" si="47" ref="AO190:AO195">AM190-R190</f>
        <v>-31.02815104000001</v>
      </c>
    </row>
    <row r="191" spans="2:41" ht="15.75">
      <c r="B191" s="171" t="s">
        <v>392</v>
      </c>
      <c r="C191" s="198">
        <v>0.006</v>
      </c>
      <c r="D191" s="172" t="s">
        <v>409</v>
      </c>
      <c r="E191" s="323"/>
      <c r="F191" s="197">
        <f>-(E173+E176+E178+E175+E177+E179+E180+E181+F189)*C191</f>
        <v>-3.5993409000000005</v>
      </c>
      <c r="G191" s="34"/>
      <c r="H191" s="171" t="s">
        <v>392</v>
      </c>
      <c r="I191" s="198">
        <v>0.006</v>
      </c>
      <c r="J191" s="172" t="s">
        <v>409</v>
      </c>
      <c r="K191" s="323"/>
      <c r="L191" s="197">
        <f>-(K173+K174+K176+K178+K175+K177+K179+K180+K181+L189)*I191</f>
        <v>-4.8354798</v>
      </c>
      <c r="M191" s="34">
        <f t="shared" si="39"/>
        <v>-1.2361388999999994</v>
      </c>
      <c r="N191" s="171" t="s">
        <v>392</v>
      </c>
      <c r="O191" s="198">
        <v>0.006</v>
      </c>
      <c r="P191" s="172" t="s">
        <v>409</v>
      </c>
      <c r="Q191" s="323"/>
      <c r="R191" s="197">
        <f>-(Q173+Q174+Q176+Q178+Q175+Q177+Q179+Q180+Q181+R189)*O191</f>
        <v>-5.1284886</v>
      </c>
      <c r="S191" s="416">
        <f t="shared" si="40"/>
        <v>-0.29300879999999996</v>
      </c>
      <c r="T191" s="417">
        <f t="shared" si="41"/>
        <v>-1.5291476999999993</v>
      </c>
      <c r="U191" s="171" t="s">
        <v>392</v>
      </c>
      <c r="V191" s="198">
        <v>0.006</v>
      </c>
      <c r="W191" s="172" t="s">
        <v>409</v>
      </c>
      <c r="X191" s="323"/>
      <c r="Y191" s="197">
        <f>-(X173+X174+X176+X178+X175+X177+X179+X180+X181+Y189)*V191</f>
        <v>-5.81056866</v>
      </c>
      <c r="Z191" s="416">
        <f t="shared" si="42"/>
        <v>-0.6820800600000005</v>
      </c>
      <c r="AA191" s="417">
        <f t="shared" si="43"/>
        <v>-0.6820800600000005</v>
      </c>
      <c r="AB191" s="171" t="s">
        <v>392</v>
      </c>
      <c r="AC191" s="198">
        <v>0.006</v>
      </c>
      <c r="AD191" s="172" t="s">
        <v>409</v>
      </c>
      <c r="AE191" s="323"/>
      <c r="AF191" s="197">
        <f>-(AE173+AE174+AE176+AE178+AE175+AE177+AE179+AE180+AE181+AF189)*AC191</f>
        <v>-6.0359235</v>
      </c>
      <c r="AG191" s="416">
        <f t="shared" si="44"/>
        <v>-0.2253548399999996</v>
      </c>
      <c r="AH191" s="417">
        <f t="shared" si="45"/>
        <v>-0.9074349000000002</v>
      </c>
      <c r="AI191" s="171" t="s">
        <v>392</v>
      </c>
      <c r="AJ191" s="198">
        <v>0.006</v>
      </c>
      <c r="AK191" s="172" t="s">
        <v>409</v>
      </c>
      <c r="AL191" s="323"/>
      <c r="AM191" s="197">
        <f>-(AL173+AL174+AL176+AL178+AL175+AL177+AL179+AL180+AL181+AM189)*AJ191</f>
        <v>-6.292044264</v>
      </c>
      <c r="AN191" s="416">
        <f t="shared" si="46"/>
        <v>-0.2561207640000003</v>
      </c>
      <c r="AO191" s="417">
        <f t="shared" si="47"/>
        <v>-1.1635556640000004</v>
      </c>
    </row>
    <row r="192" spans="2:41" ht="15.75">
      <c r="B192" s="171" t="s">
        <v>393</v>
      </c>
      <c r="C192" s="195">
        <v>0.03</v>
      </c>
      <c r="D192" s="196" t="s">
        <v>411</v>
      </c>
      <c r="E192" s="323"/>
      <c r="F192" s="197">
        <f>-(E173+E176+E178+E175+E177+E179+E180+E181+F189)*C192</f>
        <v>-17.9967045</v>
      </c>
      <c r="G192" s="34"/>
      <c r="H192" s="171" t="s">
        <v>393</v>
      </c>
      <c r="I192" s="195">
        <v>0.03</v>
      </c>
      <c r="J192" s="196" t="s">
        <v>411</v>
      </c>
      <c r="K192" s="323"/>
      <c r="L192" s="197">
        <f>-(K173+K174+K176+K178+K175+K177+K179+K180+K181+L189)*I192</f>
        <v>-24.177398999999998</v>
      </c>
      <c r="M192" s="34">
        <f t="shared" si="39"/>
        <v>-6.180694499999998</v>
      </c>
      <c r="N192" s="171" t="s">
        <v>393</v>
      </c>
      <c r="O192" s="195">
        <v>0.03</v>
      </c>
      <c r="P192" s="196" t="s">
        <v>411</v>
      </c>
      <c r="Q192" s="323"/>
      <c r="R192" s="197">
        <f>-(Q173+Q174+Q176+Q178+Q175+Q177+Q179+Q180+Q181+R189)*O192</f>
        <v>-25.642443</v>
      </c>
      <c r="S192" s="416">
        <f t="shared" si="40"/>
        <v>-1.4650440000000025</v>
      </c>
      <c r="T192" s="417">
        <f t="shared" si="41"/>
        <v>-7.6457385</v>
      </c>
      <c r="U192" s="171" t="s">
        <v>393</v>
      </c>
      <c r="V192" s="195">
        <v>0.03</v>
      </c>
      <c r="W192" s="196" t="s">
        <v>411</v>
      </c>
      <c r="X192" s="323"/>
      <c r="Y192" s="197">
        <f>-(X173+X174+X176+X178+X175+X177+X179+X180+X181+Y189)*V192</f>
        <v>-29.0528433</v>
      </c>
      <c r="Z192" s="416">
        <f t="shared" si="42"/>
        <v>-3.410400299999999</v>
      </c>
      <c r="AA192" s="417">
        <f t="shared" si="43"/>
        <v>-3.410400299999999</v>
      </c>
      <c r="AB192" s="171" t="s">
        <v>393</v>
      </c>
      <c r="AC192" s="195">
        <v>0.03</v>
      </c>
      <c r="AD192" s="196" t="s">
        <v>411</v>
      </c>
      <c r="AE192" s="323"/>
      <c r="AF192" s="197">
        <f>-(AE173+AE174+AE176+AE178+AE175+AE177+AE179+AE180+AE181+AF189)*AC192</f>
        <v>-30.1796175</v>
      </c>
      <c r="AG192" s="416">
        <f t="shared" si="44"/>
        <v>-1.1267741999999998</v>
      </c>
      <c r="AH192" s="417">
        <f t="shared" si="45"/>
        <v>-4.537174499999999</v>
      </c>
      <c r="AI192" s="171" t="s">
        <v>393</v>
      </c>
      <c r="AJ192" s="195">
        <v>0.03</v>
      </c>
      <c r="AK192" s="196" t="s">
        <v>411</v>
      </c>
      <c r="AL192" s="323"/>
      <c r="AM192" s="197">
        <f>-(AL173+AL174+AL176+AL178+AL175+AL177+AL179+AL180+AL181+AM189)*AJ192</f>
        <v>-31.460221320000002</v>
      </c>
      <c r="AN192" s="416">
        <f t="shared" si="46"/>
        <v>-1.2806038200000032</v>
      </c>
      <c r="AO192" s="417">
        <f t="shared" si="47"/>
        <v>-5.817778320000002</v>
      </c>
    </row>
    <row r="193" spans="2:41" ht="15.75">
      <c r="B193" s="171" t="s">
        <v>394</v>
      </c>
      <c r="C193" s="195"/>
      <c r="D193" s="196" t="s">
        <v>410</v>
      </c>
      <c r="E193" s="240">
        <v>0</v>
      </c>
      <c r="F193" s="199">
        <f>-E193</f>
        <v>0</v>
      </c>
      <c r="G193" s="34"/>
      <c r="H193" s="171" t="s">
        <v>394</v>
      </c>
      <c r="I193" s="195"/>
      <c r="J193" s="196" t="s">
        <v>410</v>
      </c>
      <c r="K193" s="324">
        <f>E193</f>
        <v>0</v>
      </c>
      <c r="L193" s="199">
        <f>-K193</f>
        <v>0</v>
      </c>
      <c r="M193" s="34">
        <f t="shared" si="39"/>
        <v>0</v>
      </c>
      <c r="N193" s="171" t="s">
        <v>394</v>
      </c>
      <c r="O193" s="195"/>
      <c r="P193" s="196" t="s">
        <v>410</v>
      </c>
      <c r="Q193" s="324">
        <f>K193</f>
        <v>0</v>
      </c>
      <c r="R193" s="199">
        <f>-Q193</f>
        <v>0</v>
      </c>
      <c r="S193" s="416">
        <f t="shared" si="40"/>
        <v>0</v>
      </c>
      <c r="T193" s="417">
        <f t="shared" si="41"/>
        <v>0</v>
      </c>
      <c r="U193" s="171" t="s">
        <v>394</v>
      </c>
      <c r="V193" s="195"/>
      <c r="W193" s="196" t="s">
        <v>410</v>
      </c>
      <c r="X193" s="324">
        <f>R193</f>
        <v>0</v>
      </c>
      <c r="Y193" s="199">
        <f>-X193</f>
        <v>0</v>
      </c>
      <c r="Z193" s="416">
        <f t="shared" si="42"/>
        <v>0</v>
      </c>
      <c r="AA193" s="417">
        <f t="shared" si="43"/>
        <v>0</v>
      </c>
      <c r="AB193" s="171" t="s">
        <v>394</v>
      </c>
      <c r="AC193" s="195"/>
      <c r="AD193" s="196" t="s">
        <v>410</v>
      </c>
      <c r="AE193" s="324">
        <f>Y193</f>
        <v>0</v>
      </c>
      <c r="AF193" s="199">
        <f>-AE193</f>
        <v>0</v>
      </c>
      <c r="AG193" s="416">
        <f t="shared" si="44"/>
        <v>0</v>
      </c>
      <c r="AH193" s="417">
        <f t="shared" si="45"/>
        <v>0</v>
      </c>
      <c r="AI193" s="171" t="s">
        <v>394</v>
      </c>
      <c r="AJ193" s="195"/>
      <c r="AK193" s="196" t="s">
        <v>410</v>
      </c>
      <c r="AL193" s="324">
        <f>AF193</f>
        <v>0</v>
      </c>
      <c r="AM193" s="199">
        <f>-AL193</f>
        <v>0</v>
      </c>
      <c r="AN193" s="416">
        <f t="shared" si="46"/>
        <v>0</v>
      </c>
      <c r="AO193" s="417">
        <f t="shared" si="47"/>
        <v>0</v>
      </c>
    </row>
    <row r="194" spans="2:41" ht="16.5" thickBot="1">
      <c r="B194" s="200"/>
      <c r="C194" s="241">
        <v>0</v>
      </c>
      <c r="D194" s="201" t="s">
        <v>2</v>
      </c>
      <c r="E194" s="201"/>
      <c r="F194" s="202">
        <f>-C194*(E173+E176+E177+E178+E175+E179+E180+E181+F189)</f>
        <v>0</v>
      </c>
      <c r="G194" s="34"/>
      <c r="H194" s="200"/>
      <c r="I194" s="386">
        <f>C194</f>
        <v>0</v>
      </c>
      <c r="J194" s="201" t="s">
        <v>2</v>
      </c>
      <c r="K194" s="201"/>
      <c r="L194" s="202">
        <f>-I194*(K173+K174+K176+K177+K178+K175+K179+K180+K181+L189)</f>
        <v>0</v>
      </c>
      <c r="M194" s="34">
        <f t="shared" si="39"/>
        <v>0</v>
      </c>
      <c r="N194" s="200"/>
      <c r="O194" s="386">
        <f>I194</f>
        <v>0</v>
      </c>
      <c r="P194" s="201" t="s">
        <v>2</v>
      </c>
      <c r="Q194" s="201"/>
      <c r="R194" s="202">
        <f>-O194*(Q173+Q174+Q176+Q177+Q178+Q175+Q179+Q180+Q181+R189)</f>
        <v>0</v>
      </c>
      <c r="S194" s="416">
        <f t="shared" si="40"/>
        <v>0</v>
      </c>
      <c r="T194" s="417">
        <f t="shared" si="41"/>
        <v>0</v>
      </c>
      <c r="U194" s="200"/>
      <c r="V194" s="386">
        <f>O194</f>
        <v>0</v>
      </c>
      <c r="W194" s="201" t="s">
        <v>2</v>
      </c>
      <c r="X194" s="201"/>
      <c r="Y194" s="202">
        <f>-V194*(X173+X174+X176+X177+X178+X175+X179+X180+X181+Y189)</f>
        <v>0</v>
      </c>
      <c r="Z194" s="416">
        <f t="shared" si="42"/>
        <v>0</v>
      </c>
      <c r="AA194" s="417">
        <f t="shared" si="43"/>
        <v>0</v>
      </c>
      <c r="AB194" s="200"/>
      <c r="AC194" s="386">
        <f>V194</f>
        <v>0</v>
      </c>
      <c r="AD194" s="201" t="s">
        <v>2</v>
      </c>
      <c r="AE194" s="201"/>
      <c r="AF194" s="202">
        <f>-AC194*(AE173+AE174+AE176+AE177+AE178+AE175+AE179+AE180+AE181+AF189)</f>
        <v>0</v>
      </c>
      <c r="AG194" s="416">
        <f t="shared" si="44"/>
        <v>0</v>
      </c>
      <c r="AH194" s="417">
        <f t="shared" si="45"/>
        <v>0</v>
      </c>
      <c r="AI194" s="200"/>
      <c r="AJ194" s="386">
        <f>AC194</f>
        <v>0</v>
      </c>
      <c r="AK194" s="201" t="s">
        <v>2</v>
      </c>
      <c r="AL194" s="201"/>
      <c r="AM194" s="202">
        <f>-AJ194*(AL173+AL174+AL176+AL177+AL178+AL175+AL179+AL180+AL181+AM189)</f>
        <v>0</v>
      </c>
      <c r="AN194" s="416">
        <f t="shared" si="46"/>
        <v>0</v>
      </c>
      <c r="AO194" s="417">
        <f t="shared" si="47"/>
        <v>0</v>
      </c>
    </row>
    <row r="195" spans="2:41" ht="16.5" thickBot="1">
      <c r="B195" s="200"/>
      <c r="C195" s="188"/>
      <c r="D195" s="189" t="s">
        <v>3</v>
      </c>
      <c r="E195" s="132"/>
      <c r="F195" s="203">
        <f>SUM(F189:F194)</f>
        <v>-117.57846940000002</v>
      </c>
      <c r="G195" s="34"/>
      <c r="H195" s="200"/>
      <c r="I195" s="188"/>
      <c r="J195" s="189" t="s">
        <v>3</v>
      </c>
      <c r="K195" s="132"/>
      <c r="L195" s="203">
        <f>SUM(L189:L194)</f>
        <v>-157.9590068</v>
      </c>
      <c r="M195" s="34">
        <f t="shared" si="39"/>
        <v>-40.38053739999998</v>
      </c>
      <c r="N195" s="200"/>
      <c r="O195" s="188"/>
      <c r="P195" s="189" t="s">
        <v>3</v>
      </c>
      <c r="Q195" s="132"/>
      <c r="R195" s="203">
        <f>SUM(R189:R194)</f>
        <v>-167.5306276</v>
      </c>
      <c r="S195" s="416">
        <f t="shared" si="40"/>
        <v>-9.571620800000005</v>
      </c>
      <c r="T195" s="417">
        <f t="shared" si="41"/>
        <v>-49.952158199999985</v>
      </c>
      <c r="U195" s="200"/>
      <c r="V195" s="188"/>
      <c r="W195" s="189" t="s">
        <v>3</v>
      </c>
      <c r="X195" s="132"/>
      <c r="Y195" s="203">
        <f>SUM(Y189:Y194)</f>
        <v>-189.81190956000003</v>
      </c>
      <c r="Z195" s="416">
        <f t="shared" si="42"/>
        <v>-22.28128196000003</v>
      </c>
      <c r="AA195" s="417">
        <f t="shared" si="43"/>
        <v>-22.28128196000003</v>
      </c>
      <c r="AB195" s="200"/>
      <c r="AC195" s="188"/>
      <c r="AD195" s="189" t="s">
        <v>3</v>
      </c>
      <c r="AE195" s="132"/>
      <c r="AF195" s="203">
        <f>SUM(AF189:AF194)</f>
        <v>-197.17350100000002</v>
      </c>
      <c r="AG195" s="416">
        <f t="shared" si="44"/>
        <v>-7.361591439999984</v>
      </c>
      <c r="AH195" s="417">
        <f t="shared" si="45"/>
        <v>-29.642873400000013</v>
      </c>
      <c r="AI195" s="200"/>
      <c r="AJ195" s="188"/>
      <c r="AK195" s="189" t="s">
        <v>3</v>
      </c>
      <c r="AL195" s="132"/>
      <c r="AM195" s="203">
        <f>SUM(AM189:AM194)</f>
        <v>-205.54011262400002</v>
      </c>
      <c r="AN195" s="416">
        <f t="shared" si="46"/>
        <v>-8.366611624</v>
      </c>
      <c r="AO195" s="417">
        <f t="shared" si="47"/>
        <v>-38.009485024000014</v>
      </c>
    </row>
    <row r="196" spans="1:39" ht="13.5" thickBot="1">
      <c r="A196" s="19"/>
      <c r="B196" s="301"/>
      <c r="D196" s="22"/>
      <c r="F196" s="19"/>
      <c r="H196" s="301"/>
      <c r="J196" s="22"/>
      <c r="L196" s="19"/>
      <c r="N196" s="301"/>
      <c r="P196" s="22"/>
      <c r="R196" s="19"/>
      <c r="U196" s="301"/>
      <c r="W196" s="22"/>
      <c r="Y196" s="19"/>
      <c r="AB196" s="301"/>
      <c r="AD196" s="22"/>
      <c r="AF196" s="19"/>
      <c r="AI196" s="301"/>
      <c r="AK196" s="22"/>
      <c r="AM196" s="19"/>
    </row>
    <row r="197" spans="1:39" ht="16.5" thickBot="1">
      <c r="A197" s="19"/>
      <c r="B197" s="244"/>
      <c r="C197" s="204" t="s">
        <v>4</v>
      </c>
      <c r="D197" s="205"/>
      <c r="E197" s="190">
        <f>E188+F195</f>
        <v>1108.8224</v>
      </c>
      <c r="F197" s="19"/>
      <c r="H197" s="244"/>
      <c r="I197" s="204" t="s">
        <v>4</v>
      </c>
      <c r="J197" s="205"/>
      <c r="K197" s="190">
        <f>K188+L195</f>
        <v>1358.8224</v>
      </c>
      <c r="L197" s="19"/>
      <c r="N197" s="244"/>
      <c r="O197" s="204" t="s">
        <v>4</v>
      </c>
      <c r="P197" s="205"/>
      <c r="Q197" s="190">
        <f>Q188+R195</f>
        <v>1358.8224</v>
      </c>
      <c r="R197" s="19"/>
      <c r="U197" s="244"/>
      <c r="V197" s="204" t="s">
        <v>4</v>
      </c>
      <c r="W197" s="205"/>
      <c r="X197" s="190">
        <f>X188+Y195</f>
        <v>1427.6448</v>
      </c>
      <c r="Y197" s="19"/>
      <c r="AB197" s="244"/>
      <c r="AC197" s="204" t="s">
        <v>4</v>
      </c>
      <c r="AD197" s="205"/>
      <c r="AE197" s="190">
        <f>AE188+AF195</f>
        <v>1436.2476</v>
      </c>
      <c r="AF197" s="19"/>
      <c r="AI197" s="244"/>
      <c r="AJ197" s="204" t="s">
        <v>4</v>
      </c>
      <c r="AK197" s="205"/>
      <c r="AL197" s="190">
        <f>AL188+AM195</f>
        <v>1444.8503999999998</v>
      </c>
      <c r="AM197" s="19"/>
    </row>
    <row r="198" ht="23.25" customHeight="1">
      <c r="Q198" s="3" t="s">
        <v>560</v>
      </c>
    </row>
    <row r="199" spans="10:40" ht="18">
      <c r="J199" s="325" t="s">
        <v>535</v>
      </c>
      <c r="K199" s="326">
        <f>K197-E197</f>
        <v>250</v>
      </c>
      <c r="L199" s="6"/>
      <c r="N199" s="39"/>
      <c r="O199" s="243"/>
      <c r="P199" s="337" t="s">
        <v>536</v>
      </c>
      <c r="Q199" s="326">
        <f>Q197-K197</f>
        <v>0</v>
      </c>
      <c r="R199" s="338" t="s">
        <v>537</v>
      </c>
      <c r="S199" s="390">
        <f>K199+Q199</f>
        <v>250</v>
      </c>
      <c r="U199" s="39"/>
      <c r="V199" s="243"/>
      <c r="W199" s="337" t="s">
        <v>536</v>
      </c>
      <c r="X199" s="326">
        <f>X197-Q197</f>
        <v>68.82240000000002</v>
      </c>
      <c r="Y199" s="338" t="s">
        <v>537</v>
      </c>
      <c r="Z199" s="390">
        <f>S199+X199</f>
        <v>318.8224</v>
      </c>
      <c r="AB199" s="39"/>
      <c r="AC199" s="243"/>
      <c r="AD199" s="337" t="s">
        <v>536</v>
      </c>
      <c r="AE199" s="326">
        <f>AE197-Q197</f>
        <v>77.4251999999999</v>
      </c>
      <c r="AF199" s="338" t="s">
        <v>537</v>
      </c>
      <c r="AG199" s="390">
        <f>S199+AE199</f>
        <v>327.4251999999999</v>
      </c>
      <c r="AI199" s="39"/>
      <c r="AJ199" s="243"/>
      <c r="AK199" s="337" t="s">
        <v>536</v>
      </c>
      <c r="AL199" s="326">
        <f>AL197-Q197</f>
        <v>86.02799999999979</v>
      </c>
      <c r="AM199" s="338" t="s">
        <v>537</v>
      </c>
      <c r="AN199" s="390">
        <f>S199+AL199</f>
        <v>336.0279999999998</v>
      </c>
    </row>
    <row r="200" spans="10:40" ht="18">
      <c r="J200" s="325" t="s">
        <v>430</v>
      </c>
      <c r="K200" s="327">
        <f>K199/E197</f>
        <v>0.22546442063219502</v>
      </c>
      <c r="M200" s="13"/>
      <c r="N200" s="39"/>
      <c r="O200" s="208"/>
      <c r="P200" s="325" t="s">
        <v>430</v>
      </c>
      <c r="Q200" s="327">
        <f>Q199/E197</f>
        <v>0</v>
      </c>
      <c r="R200" s="391" t="s">
        <v>538</v>
      </c>
      <c r="S200" s="339">
        <f>S199/E197</f>
        <v>0.22546442063219502</v>
      </c>
      <c r="U200" s="39"/>
      <c r="V200" s="208"/>
      <c r="W200" s="325" t="s">
        <v>430</v>
      </c>
      <c r="X200" s="327">
        <f>X199/Q197</f>
        <v>0.05064856157802522</v>
      </c>
      <c r="Y200" s="391" t="s">
        <v>538</v>
      </c>
      <c r="Z200" s="339">
        <f>Z199/E197</f>
        <v>0.28753243080226376</v>
      </c>
      <c r="AB200" s="39"/>
      <c r="AC200" s="208"/>
      <c r="AD200" s="325" t="s">
        <v>430</v>
      </c>
      <c r="AE200" s="327">
        <f>AE199/Q197</f>
        <v>0.05697963177527829</v>
      </c>
      <c r="AF200" s="391" t="s">
        <v>538</v>
      </c>
      <c r="AG200" s="339">
        <f>AG199/E197</f>
        <v>0.29529093207352225</v>
      </c>
      <c r="AI200" s="39"/>
      <c r="AJ200" s="208"/>
      <c r="AK200" s="325" t="s">
        <v>430</v>
      </c>
      <c r="AL200" s="327">
        <f>AL199/Q197</f>
        <v>0.06331070197253136</v>
      </c>
      <c r="AM200" s="391" t="s">
        <v>538</v>
      </c>
      <c r="AN200" s="339">
        <f>AN199/E197</f>
        <v>0.30304943334478074</v>
      </c>
    </row>
    <row r="201" spans="19:40" ht="12.75">
      <c r="S201" s="3" t="s">
        <v>562</v>
      </c>
      <c r="X201" s="3" t="s">
        <v>561</v>
      </c>
      <c r="Z201" s="3" t="s">
        <v>562</v>
      </c>
      <c r="AD201" s="3" t="s">
        <v>561</v>
      </c>
      <c r="AG201" s="3" t="s">
        <v>562</v>
      </c>
      <c r="AL201" s="3" t="s">
        <v>561</v>
      </c>
      <c r="AN201" s="3" t="s">
        <v>562</v>
      </c>
    </row>
    <row r="202" spans="2:39" ht="15.75">
      <c r="B202" s="244"/>
      <c r="C202" s="243"/>
      <c r="D202" s="243"/>
      <c r="E202" s="6" t="s">
        <v>447</v>
      </c>
      <c r="F202" s="206"/>
      <c r="H202" s="244"/>
      <c r="I202" s="243"/>
      <c r="J202" s="243"/>
      <c r="K202" s="6" t="s">
        <v>447</v>
      </c>
      <c r="L202" s="206"/>
      <c r="N202" s="244"/>
      <c r="O202" s="243"/>
      <c r="P202" s="243"/>
      <c r="Q202" s="6" t="s">
        <v>447</v>
      </c>
      <c r="R202" s="206"/>
      <c r="U202" s="244"/>
      <c r="V202" s="243"/>
      <c r="W202" s="243"/>
      <c r="X202" s="6" t="s">
        <v>447</v>
      </c>
      <c r="Y202" s="206"/>
      <c r="AB202" s="244"/>
      <c r="AC202" s="243"/>
      <c r="AD202" s="243"/>
      <c r="AE202" s="6" t="s">
        <v>447</v>
      </c>
      <c r="AF202" s="206"/>
      <c r="AI202" s="244"/>
      <c r="AJ202" s="243"/>
      <c r="AK202" s="243"/>
      <c r="AL202" s="6" t="s">
        <v>447</v>
      </c>
      <c r="AM202" s="206"/>
    </row>
    <row r="203" spans="2:39" ht="16.5" thickBot="1">
      <c r="B203" s="243" t="s">
        <v>443</v>
      </c>
      <c r="C203" s="206"/>
      <c r="E203" s="6">
        <v>502</v>
      </c>
      <c r="F203" s="246">
        <f>-(E173+E176+E178+E175+E177+E179+E181+F189+D204)*C190</f>
        <v>-143.973636</v>
      </c>
      <c r="H203" s="243" t="s">
        <v>443</v>
      </c>
      <c r="I203" s="206"/>
      <c r="K203" s="6">
        <v>502</v>
      </c>
      <c r="L203" s="246">
        <f>-(K173+K174+K176+K178+K175+K177+K179+K181+L189+J204)*I190</f>
        <v>-193.41919199999998</v>
      </c>
      <c r="N203" s="243" t="s">
        <v>443</v>
      </c>
      <c r="O203" s="206"/>
      <c r="Q203" s="6">
        <v>502</v>
      </c>
      <c r="R203" s="246">
        <f>-(Q173+Q174+Q176+Q178+Q175+Q177+Q179+Q181+R189+P204)*O190</f>
        <v>-205.13954400000003</v>
      </c>
      <c r="U203" s="243" t="s">
        <v>443</v>
      </c>
      <c r="V203" s="206"/>
      <c r="X203" s="6">
        <v>502</v>
      </c>
      <c r="Y203" s="246">
        <f>-(X173+X174+X176+X178+X175+X177+X179+X181+Y189+W204)*V190</f>
        <v>-232.42274640000005</v>
      </c>
      <c r="AB203" s="243" t="s">
        <v>443</v>
      </c>
      <c r="AC203" s="206"/>
      <c r="AE203" s="6">
        <v>502</v>
      </c>
      <c r="AF203" s="246">
        <f>-(AE173+AE174+AE176+AE178+AE175+AE177+AE179+AE181+AF189+AD204)*AC190</f>
        <v>-241.43694</v>
      </c>
      <c r="AI203" s="243" t="s">
        <v>443</v>
      </c>
      <c r="AJ203" s="206"/>
      <c r="AL203" s="6">
        <v>502</v>
      </c>
      <c r="AM203" s="246">
        <f>-(AL173+AL174+AL176+AL178+AL175+AL177+AL179+AL181+AM189+AK204)*AJ190</f>
        <v>-251.68177056000002</v>
      </c>
    </row>
    <row r="204" spans="2:39" ht="16.5" thickBot="1">
      <c r="B204" s="204" t="s">
        <v>444</v>
      </c>
      <c r="C204" s="129"/>
      <c r="D204" s="247">
        <f>(E173+E175+E176+E177+E178+E179+E180+E181)*0.5</f>
        <v>299.945075</v>
      </c>
      <c r="E204" s="6">
        <v>504</v>
      </c>
      <c r="F204" s="246">
        <f>-(E173+E176+E178+E175+E177+E179+E181+F189+D204)*C191</f>
        <v>-5.39901135</v>
      </c>
      <c r="H204" s="204" t="s">
        <v>444</v>
      </c>
      <c r="I204" s="129"/>
      <c r="J204" s="247">
        <f>(K173+K174+K175+K176+K177+K178+K179+K180+K181)*0.5</f>
        <v>402.95664999999997</v>
      </c>
      <c r="K204" s="6">
        <v>504</v>
      </c>
      <c r="L204" s="246">
        <f>-(K173+K174+K176+K178+K175+K177+K179+K181+L189+J204)*I191</f>
        <v>-7.253219699999999</v>
      </c>
      <c r="N204" s="204" t="s">
        <v>444</v>
      </c>
      <c r="O204" s="129"/>
      <c r="P204" s="247">
        <f>(Q173+Q174+Q175+Q176+Q177+Q178+Q179+Q180+Q181)*0.5</f>
        <v>427.37405</v>
      </c>
      <c r="Q204" s="6">
        <v>504</v>
      </c>
      <c r="R204" s="246">
        <f>-(Q173+Q174+Q176+Q178+Q175+Q177+Q179+Q181+R189+P204)*O191</f>
        <v>-7.692732900000001</v>
      </c>
      <c r="U204" s="204" t="s">
        <v>444</v>
      </c>
      <c r="V204" s="129"/>
      <c r="W204" s="247">
        <f>(X173+X174+X175+X176+X177+X178+X179+X180+X181)*0.5</f>
        <v>484.21405500000003</v>
      </c>
      <c r="X204" s="6">
        <v>504</v>
      </c>
      <c r="Y204" s="246">
        <f>-(X173+X174+X176+X178+X175+X177+X179+X181+Y189+W204)*V191</f>
        <v>-8.715852990000002</v>
      </c>
      <c r="AB204" s="204" t="s">
        <v>444</v>
      </c>
      <c r="AC204" s="129"/>
      <c r="AD204" s="247">
        <f>(AE173+AE174+AE175+AE176+AE177+AE178+AE179+AE180+AE181)*0.5</f>
        <v>502.993625</v>
      </c>
      <c r="AE204" s="6">
        <v>504</v>
      </c>
      <c r="AF204" s="246">
        <f>-(AE173+AE174+AE176+AE178+AE175+AE177+AE179+AE181+AF189+AD204)*AC191</f>
        <v>-9.05388525</v>
      </c>
      <c r="AI204" s="204" t="s">
        <v>444</v>
      </c>
      <c r="AJ204" s="129"/>
      <c r="AK204" s="247">
        <f>(AL173+AL174+AL175+AL176+AL177+AL178+AL179+AL180+AL181)*0.5</f>
        <v>524.337022</v>
      </c>
      <c r="AL204" s="6">
        <v>504</v>
      </c>
      <c r="AM204" s="246">
        <f>-(AL173+AL174+AL176+AL178+AL175+AL177+AL179+AL181+AM189+AK204)*AJ191</f>
        <v>-9.438066396</v>
      </c>
    </row>
    <row r="205" spans="2:39" ht="16.5" thickBot="1">
      <c r="B205" s="248" t="s">
        <v>445</v>
      </c>
      <c r="C205" s="129"/>
      <c r="D205" s="249">
        <f>E182*0.5</f>
        <v>208.25535969999999</v>
      </c>
      <c r="E205" s="6">
        <v>505</v>
      </c>
      <c r="F205" s="246">
        <f>-(E173+E176+E178+E175+E177+E179+E181+F189+D204)*C192</f>
        <v>-26.99505675</v>
      </c>
      <c r="H205" s="248" t="s">
        <v>445</v>
      </c>
      <c r="I205" s="129"/>
      <c r="J205" s="249">
        <f>K182*0.5</f>
        <v>250.43405340000004</v>
      </c>
      <c r="K205" s="6">
        <v>505</v>
      </c>
      <c r="L205" s="246">
        <f>-(K173+K174+K176+K178+K175+K177+K179+K181+L189+J204)*I192</f>
        <v>-36.26609849999999</v>
      </c>
      <c r="N205" s="248" t="s">
        <v>445</v>
      </c>
      <c r="O205" s="129"/>
      <c r="P205" s="249">
        <f>Q182*0.5</f>
        <v>230.80246379999994</v>
      </c>
      <c r="Q205" s="6">
        <v>505</v>
      </c>
      <c r="R205" s="246">
        <f>-(Q173+Q174+Q176+Q178+Q175+Q177+Q179+Q181+R189+P204)*O192</f>
        <v>-38.4636645</v>
      </c>
      <c r="U205" s="248" t="s">
        <v>445</v>
      </c>
      <c r="V205" s="129"/>
      <c r="W205" s="249">
        <f>X182*0.5</f>
        <v>219.51429977999993</v>
      </c>
      <c r="X205" s="6">
        <v>505</v>
      </c>
      <c r="Y205" s="246">
        <f>-(X173+X174+X176+X178+X175+X177+X179+X181+Y189+W204)*V192</f>
        <v>-43.57926495</v>
      </c>
      <c r="AB205" s="248" t="s">
        <v>445</v>
      </c>
      <c r="AC205" s="129"/>
      <c r="AD205" s="249">
        <f>AE182*0.5</f>
        <v>208.7169254999999</v>
      </c>
      <c r="AE205" s="6">
        <v>505</v>
      </c>
      <c r="AF205" s="246">
        <f>-(AE173+AE174+AE176+AE178+AE175+AE177+AE179+AE181+AF189+AD204)*AC192</f>
        <v>-45.269426249999995</v>
      </c>
      <c r="AI205" s="248" t="s">
        <v>445</v>
      </c>
      <c r="AJ205" s="129"/>
      <c r="AK205" s="249">
        <f>AL182*0.5</f>
        <v>195.85823431199992</v>
      </c>
      <c r="AL205" s="6">
        <v>505</v>
      </c>
      <c r="AM205" s="246">
        <f>-(AL173+AL174+AL176+AL178+AL175+AL177+AL179+AL181+AM189+AK204)*AJ192</f>
        <v>-47.190331979999996</v>
      </c>
    </row>
    <row r="206" spans="2:39" ht="16.5" thickBot="1">
      <c r="B206" s="244"/>
      <c r="C206" s="208"/>
      <c r="D206" s="20"/>
      <c r="E206" s="206"/>
      <c r="F206" s="206"/>
      <c r="H206" s="244"/>
      <c r="I206" s="208"/>
      <c r="J206" s="20"/>
      <c r="K206" s="206"/>
      <c r="L206" s="206"/>
      <c r="N206" s="244"/>
      <c r="O206" s="208"/>
      <c r="P206" s="20"/>
      <c r="Q206" s="206"/>
      <c r="R206" s="206"/>
      <c r="U206" s="244"/>
      <c r="V206" s="208"/>
      <c r="W206" s="20"/>
      <c r="X206" s="206"/>
      <c r="Y206" s="206"/>
      <c r="AB206" s="244"/>
      <c r="AC206" s="208"/>
      <c r="AD206" s="20"/>
      <c r="AE206" s="206"/>
      <c r="AF206" s="206"/>
      <c r="AI206" s="244"/>
      <c r="AJ206" s="208"/>
      <c r="AK206" s="20"/>
      <c r="AL206" s="206"/>
      <c r="AM206" s="206"/>
    </row>
    <row r="207" spans="3:39" ht="16.5" thickBot="1">
      <c r="C207" s="20"/>
      <c r="D207" s="250" t="s">
        <v>448</v>
      </c>
      <c r="E207" s="209"/>
      <c r="F207" s="245">
        <f>E188+D204+D205+F203+F204+F205</f>
        <v>1558.2336000000003</v>
      </c>
      <c r="I207" s="20"/>
      <c r="J207" s="250" t="s">
        <v>448</v>
      </c>
      <c r="K207" s="209"/>
      <c r="L207" s="245">
        <f>K188+J204+J205+L203+L204+L205</f>
        <v>1933.2336</v>
      </c>
      <c r="O207" s="20"/>
      <c r="P207" s="250" t="s">
        <v>448</v>
      </c>
      <c r="Q207" s="209"/>
      <c r="R207" s="245">
        <f>Q188+P204+P205+R203+R204+R205</f>
        <v>1933.2336</v>
      </c>
      <c r="V207" s="20"/>
      <c r="W207" s="250" t="s">
        <v>448</v>
      </c>
      <c r="X207" s="209"/>
      <c r="Y207" s="245">
        <f>X188+W204+W205+Y203+Y204+Y205</f>
        <v>2036.4672</v>
      </c>
      <c r="AC207" s="20"/>
      <c r="AD207" s="250" t="s">
        <v>448</v>
      </c>
      <c r="AE207" s="209"/>
      <c r="AF207" s="245">
        <f>AE188+AD204+AD205+AF203+AF204+AF205</f>
        <v>2049.3714</v>
      </c>
      <c r="AJ207" s="20"/>
      <c r="AK207" s="250" t="s">
        <v>448</v>
      </c>
      <c r="AL207" s="209"/>
      <c r="AM207" s="245">
        <f>AL188+AK204+AK205+AM203+AM204+AM205</f>
        <v>2062.2756</v>
      </c>
    </row>
    <row r="208" spans="3:39" ht="15.75">
      <c r="C208" s="20"/>
      <c r="D208" s="250"/>
      <c r="E208" s="209"/>
      <c r="F208" s="206"/>
      <c r="I208" s="20"/>
      <c r="J208" s="250"/>
      <c r="K208" s="209"/>
      <c r="L208" s="206"/>
      <c r="O208" s="20"/>
      <c r="P208" s="250"/>
      <c r="Q208" s="209"/>
      <c r="R208" s="206"/>
      <c r="V208" s="20"/>
      <c r="W208" s="250"/>
      <c r="X208" s="209"/>
      <c r="Y208" s="206"/>
      <c r="AC208" s="20"/>
      <c r="AD208" s="250"/>
      <c r="AE208" s="209"/>
      <c r="AF208" s="206"/>
      <c r="AJ208" s="20"/>
      <c r="AK208" s="250"/>
      <c r="AL208" s="209"/>
      <c r="AM208" s="206"/>
    </row>
    <row r="209" spans="3:39" ht="15.75">
      <c r="C209" s="20"/>
      <c r="D209" s="317" t="s">
        <v>457</v>
      </c>
      <c r="E209" s="315"/>
      <c r="F209" s="316">
        <f>F207-E197</f>
        <v>449.41120000000024</v>
      </c>
      <c r="I209" s="20"/>
      <c r="J209" s="317" t="s">
        <v>457</v>
      </c>
      <c r="K209" s="315"/>
      <c r="L209" s="316">
        <f>L207-K197</f>
        <v>574.4112</v>
      </c>
      <c r="O209" s="20"/>
      <c r="P209" s="317" t="s">
        <v>457</v>
      </c>
      <c r="Q209" s="315"/>
      <c r="R209" s="316">
        <f>R207-Q197</f>
        <v>574.4112</v>
      </c>
      <c r="V209" s="20"/>
      <c r="W209" s="317" t="s">
        <v>457</v>
      </c>
      <c r="X209" s="315"/>
      <c r="Y209" s="316">
        <f>Y207-X197</f>
        <v>608.8224</v>
      </c>
      <c r="AC209" s="20"/>
      <c r="AD209" s="317" t="s">
        <v>457</v>
      </c>
      <c r="AE209" s="315"/>
      <c r="AF209" s="316">
        <f>AF207-AE197</f>
        <v>613.1238000000001</v>
      </c>
      <c r="AJ209" s="20"/>
      <c r="AK209" s="317" t="s">
        <v>457</v>
      </c>
      <c r="AL209" s="315"/>
      <c r="AM209" s="316">
        <f>AM207-AL197</f>
        <v>617.4252000000001</v>
      </c>
    </row>
    <row r="210" spans="2:36" ht="12.75">
      <c r="B210" s="13"/>
      <c r="C210" s="13"/>
      <c r="H210" s="13"/>
      <c r="I210" s="13"/>
      <c r="N210" s="13"/>
      <c r="O210" s="13"/>
      <c r="U210" s="13"/>
      <c r="V210" s="13"/>
      <c r="AB210" s="13"/>
      <c r="AC210" s="13"/>
      <c r="AI210" s="13"/>
      <c r="AJ210" s="13"/>
    </row>
    <row r="211" spans="3:10" s="429" customFormat="1" ht="22.5" customHeight="1">
      <c r="C211" s="435"/>
      <c r="D211" s="432"/>
      <c r="E211" s="432"/>
      <c r="F211" s="432"/>
      <c r="G211" s="432"/>
      <c r="H211" s="432"/>
      <c r="I211" s="436"/>
      <c r="J211" s="432"/>
    </row>
    <row r="212" spans="9:13" ht="12.75">
      <c r="I212" s="13"/>
      <c r="J212" s="13"/>
      <c r="K212" s="13"/>
      <c r="L212" s="13"/>
      <c r="M212" s="13"/>
    </row>
    <row r="213" spans="4:13" ht="23.25">
      <c r="D213" s="347" t="s">
        <v>9</v>
      </c>
      <c r="J213" s="13"/>
      <c r="K213" s="13"/>
      <c r="L213" s="160"/>
      <c r="M213" s="13"/>
    </row>
    <row r="214" spans="10:13" ht="13.5" thickBot="1">
      <c r="J214" s="27"/>
      <c r="K214" s="13"/>
      <c r="L214" s="210"/>
      <c r="M214" s="13"/>
    </row>
    <row r="215" spans="3:13" ht="16.5" thickBot="1">
      <c r="C215" s="204" t="s">
        <v>10</v>
      </c>
      <c r="D215" s="82"/>
      <c r="E215" s="1">
        <v>30</v>
      </c>
      <c r="H215" s="211"/>
      <c r="J215" s="27"/>
      <c r="K215" s="13"/>
      <c r="L215" s="13"/>
      <c r="M215" s="13"/>
    </row>
    <row r="216" spans="3:13" ht="16.5" thickBot="1">
      <c r="C216" s="204" t="s">
        <v>431</v>
      </c>
      <c r="D216" s="82"/>
      <c r="E216" s="2">
        <v>10</v>
      </c>
      <c r="G216" s="304" t="s">
        <v>489</v>
      </c>
      <c r="I216" s="211"/>
      <c r="J216" s="13"/>
      <c r="K216" s="13"/>
      <c r="L216" s="13"/>
      <c r="M216" s="13"/>
    </row>
    <row r="217" spans="5:13" ht="16.5" thickBot="1">
      <c r="E217" s="212">
        <f>LOOKUP(E216,I80:I91,J80:J91)</f>
        <v>0.5</v>
      </c>
      <c r="G217" s="305">
        <f>nuevocod38med*E215</f>
        <v>105.84</v>
      </c>
      <c r="I217" s="213"/>
      <c r="J217" s="13"/>
      <c r="K217" s="13"/>
      <c r="L217" s="13"/>
      <c r="M217" s="13"/>
    </row>
    <row r="218" spans="3:13" ht="18.75" thickBot="1">
      <c r="C218" s="349" t="s">
        <v>506</v>
      </c>
      <c r="D218" s="350"/>
      <c r="E218" s="351"/>
      <c r="G218" s="305"/>
      <c r="I218" s="213"/>
      <c r="J218" s="13"/>
      <c r="K218" s="13"/>
      <c r="L218" s="13"/>
      <c r="M218" s="13"/>
    </row>
    <row r="219" spans="3:13" ht="16.5" thickBot="1">
      <c r="C219" s="352" t="s">
        <v>507</v>
      </c>
      <c r="D219" s="353"/>
      <c r="E219" s="354">
        <v>30</v>
      </c>
      <c r="G219" s="305"/>
      <c r="I219" s="213"/>
      <c r="J219" s="13"/>
      <c r="K219" s="13"/>
      <c r="L219" s="13"/>
      <c r="M219" s="13"/>
    </row>
    <row r="220" spans="3:13" ht="16.5" thickBot="1">
      <c r="C220" s="352" t="s">
        <v>508</v>
      </c>
      <c r="D220" s="353"/>
      <c r="E220" s="354">
        <v>30</v>
      </c>
      <c r="G220" s="305"/>
      <c r="I220" s="213"/>
      <c r="J220" s="13"/>
      <c r="K220" s="13"/>
      <c r="L220" s="13"/>
      <c r="M220" s="13"/>
    </row>
    <row r="221" spans="3:13" ht="16.5" thickBot="1">
      <c r="C221" s="355" t="s">
        <v>509</v>
      </c>
      <c r="D221" s="356"/>
      <c r="E221" s="357">
        <v>30</v>
      </c>
      <c r="G221" s="305"/>
      <c r="I221" s="213"/>
      <c r="J221" s="13"/>
      <c r="K221" s="13"/>
      <c r="L221" s="13"/>
      <c r="M221" s="13"/>
    </row>
    <row r="222" spans="5:13" ht="15.75">
      <c r="E222" s="212"/>
      <c r="I222" s="91"/>
      <c r="J222" s="13"/>
      <c r="K222" s="13"/>
      <c r="L222" s="13"/>
      <c r="M222" s="13"/>
    </row>
    <row r="223" spans="3:24" ht="18.75" thickBot="1">
      <c r="C223" s="166" t="s">
        <v>5</v>
      </c>
      <c r="D223" s="214"/>
      <c r="E223" s="167">
        <f>E215*64.73</f>
        <v>1941.9</v>
      </c>
      <c r="F223" s="3" t="s">
        <v>11</v>
      </c>
      <c r="I223" s="91"/>
      <c r="J223" s="13"/>
      <c r="K223" s="13"/>
      <c r="L223" s="13"/>
      <c r="M223" s="13"/>
      <c r="X223" s="34"/>
    </row>
    <row r="224" spans="10:24" ht="12.75">
      <c r="J224" s="13"/>
      <c r="K224" s="13"/>
      <c r="L224" s="13"/>
      <c r="M224" s="13"/>
      <c r="X224" s="34"/>
    </row>
    <row r="225" spans="2:39" ht="18.75" thickBot="1">
      <c r="B225" s="13"/>
      <c r="C225" s="392">
        <v>39326</v>
      </c>
      <c r="D225" s="13"/>
      <c r="E225" s="13"/>
      <c r="F225" s="13"/>
      <c r="H225" s="13"/>
      <c r="I225" s="392">
        <v>39508</v>
      </c>
      <c r="J225" s="13"/>
      <c r="K225" s="13"/>
      <c r="L225" s="13"/>
      <c r="N225" s="13"/>
      <c r="O225" s="392">
        <v>39569</v>
      </c>
      <c r="P225" s="13"/>
      <c r="Q225" s="13"/>
      <c r="R225" s="13"/>
      <c r="U225" s="13"/>
      <c r="V225" s="392" t="s">
        <v>564</v>
      </c>
      <c r="W225" s="13"/>
      <c r="X225" s="13"/>
      <c r="Y225" s="13"/>
      <c r="AB225" s="13"/>
      <c r="AC225" s="392" t="s">
        <v>565</v>
      </c>
      <c r="AD225" s="13"/>
      <c r="AE225" s="13"/>
      <c r="AF225" s="13"/>
      <c r="AI225" s="13"/>
      <c r="AJ225" s="392" t="s">
        <v>566</v>
      </c>
      <c r="AK225" s="13"/>
      <c r="AL225" s="13"/>
      <c r="AM225" s="13"/>
    </row>
    <row r="226" spans="2:41" ht="13.5" thickBot="1">
      <c r="B226" s="185" t="s">
        <v>451</v>
      </c>
      <c r="C226" s="263" t="s">
        <v>450</v>
      </c>
      <c r="D226" s="263" t="s">
        <v>406</v>
      </c>
      <c r="E226" s="263" t="s">
        <v>407</v>
      </c>
      <c r="F226" s="264" t="s">
        <v>408</v>
      </c>
      <c r="G226" s="27"/>
      <c r="H226" s="185" t="s">
        <v>451</v>
      </c>
      <c r="I226" s="263" t="s">
        <v>450</v>
      </c>
      <c r="J226" s="263" t="s">
        <v>406</v>
      </c>
      <c r="K226" s="263" t="s">
        <v>407</v>
      </c>
      <c r="L226" s="264" t="s">
        <v>408</v>
      </c>
      <c r="M226" s="27" t="s">
        <v>542</v>
      </c>
      <c r="N226" s="185" t="s">
        <v>451</v>
      </c>
      <c r="O226" s="263" t="s">
        <v>450</v>
      </c>
      <c r="P226" s="263" t="s">
        <v>406</v>
      </c>
      <c r="Q226" s="263" t="s">
        <v>407</v>
      </c>
      <c r="R226" s="264" t="s">
        <v>408</v>
      </c>
      <c r="S226" s="412" t="s">
        <v>563</v>
      </c>
      <c r="T226" s="413" t="s">
        <v>540</v>
      </c>
      <c r="U226" s="185" t="s">
        <v>451</v>
      </c>
      <c r="V226" s="263" t="s">
        <v>450</v>
      </c>
      <c r="W226" s="263" t="s">
        <v>406</v>
      </c>
      <c r="X226" s="263" t="s">
        <v>407</v>
      </c>
      <c r="Y226" s="264" t="s">
        <v>408</v>
      </c>
      <c r="Z226" s="412" t="s">
        <v>563</v>
      </c>
      <c r="AA226" s="413" t="s">
        <v>540</v>
      </c>
      <c r="AB226" s="185" t="s">
        <v>451</v>
      </c>
      <c r="AC226" s="263" t="s">
        <v>450</v>
      </c>
      <c r="AD226" s="263" t="s">
        <v>406</v>
      </c>
      <c r="AE226" s="263" t="s">
        <v>407</v>
      </c>
      <c r="AF226" s="264" t="s">
        <v>408</v>
      </c>
      <c r="AG226" s="412" t="s">
        <v>563</v>
      </c>
      <c r="AH226" s="413" t="s">
        <v>540</v>
      </c>
      <c r="AI226" s="185" t="s">
        <v>451</v>
      </c>
      <c r="AJ226" s="263" t="s">
        <v>450</v>
      </c>
      <c r="AK226" s="263" t="s">
        <v>406</v>
      </c>
      <c r="AL226" s="263" t="s">
        <v>407</v>
      </c>
      <c r="AM226" s="264" t="s">
        <v>408</v>
      </c>
      <c r="AN226" s="412" t="s">
        <v>563</v>
      </c>
      <c r="AO226" s="413" t="s">
        <v>540</v>
      </c>
    </row>
    <row r="227" spans="2:41" ht="12.75">
      <c r="B227" s="265" t="s">
        <v>417</v>
      </c>
      <c r="C227" s="187">
        <f>E215</f>
        <v>30</v>
      </c>
      <c r="D227" s="187" t="s">
        <v>418</v>
      </c>
      <c r="E227" s="266">
        <f>indiceoct07*E223</f>
        <v>961.2405</v>
      </c>
      <c r="F227" s="217"/>
      <c r="G227" s="335"/>
      <c r="H227" s="265" t="s">
        <v>417</v>
      </c>
      <c r="I227" s="187">
        <f>K215</f>
        <v>0</v>
      </c>
      <c r="J227" s="187" t="s">
        <v>418</v>
      </c>
      <c r="K227" s="266">
        <f>indicemar08*E223</f>
        <v>1145.721</v>
      </c>
      <c r="L227" s="217"/>
      <c r="M227" s="335">
        <f>K227-E227</f>
        <v>184.4805</v>
      </c>
      <c r="N227" s="265" t="s">
        <v>417</v>
      </c>
      <c r="O227" s="187">
        <f>Q215</f>
        <v>0</v>
      </c>
      <c r="P227" s="187" t="s">
        <v>418</v>
      </c>
      <c r="Q227" s="266">
        <f>indicejul08*E223</f>
        <v>1223.3970000000002</v>
      </c>
      <c r="R227" s="217"/>
      <c r="S227" s="400">
        <f>Q227-K227</f>
        <v>77.67600000000016</v>
      </c>
      <c r="T227" s="177">
        <f>Q227-E227</f>
        <v>262.15650000000016</v>
      </c>
      <c r="U227" s="265" t="s">
        <v>417</v>
      </c>
      <c r="V227" s="187">
        <f>X215</f>
        <v>0</v>
      </c>
      <c r="W227" s="187" t="s">
        <v>418</v>
      </c>
      <c r="X227" s="266">
        <f>indiceago08*E223</f>
        <v>1268.0607</v>
      </c>
      <c r="Y227" s="217"/>
      <c r="Z227" s="425">
        <f>X227-Q227</f>
        <v>44.663699999999835</v>
      </c>
      <c r="AA227" s="422">
        <f>X227-Q227</f>
        <v>44.663699999999835</v>
      </c>
      <c r="AB227" s="265" t="s">
        <v>417</v>
      </c>
      <c r="AC227" s="187">
        <f>AE215</f>
        <v>0</v>
      </c>
      <c r="AD227" s="187" t="s">
        <v>418</v>
      </c>
      <c r="AE227" s="266">
        <f>indiceoct08*E223</f>
        <v>1310.7825000000003</v>
      </c>
      <c r="AF227" s="217"/>
      <c r="AG227" s="425">
        <f>AE227-X227</f>
        <v>42.72180000000026</v>
      </c>
      <c r="AH227" s="422">
        <f>AE227-Q227</f>
        <v>87.38550000000009</v>
      </c>
      <c r="AI227" s="265" t="s">
        <v>417</v>
      </c>
      <c r="AJ227" s="187">
        <f>AL215</f>
        <v>0</v>
      </c>
      <c r="AK227" s="187" t="s">
        <v>418</v>
      </c>
      <c r="AL227" s="266">
        <f>indicedic08*E223</f>
        <v>1361.66028</v>
      </c>
      <c r="AM227" s="217"/>
      <c r="AN227" s="425">
        <f>AL227-AE227</f>
        <v>50.8777799999998</v>
      </c>
      <c r="AO227" s="422">
        <f>AL227-Q227</f>
        <v>138.2632799999999</v>
      </c>
    </row>
    <row r="228" spans="2:41" ht="12.75">
      <c r="B228" s="215" t="s">
        <v>382</v>
      </c>
      <c r="C228" s="114">
        <f>E217</f>
        <v>0.5</v>
      </c>
      <c r="D228" s="94" t="s">
        <v>0</v>
      </c>
      <c r="E228" s="216">
        <f>E227*C228</f>
        <v>480.62025</v>
      </c>
      <c r="F228" s="217"/>
      <c r="G228" s="335"/>
      <c r="H228" s="215" t="s">
        <v>382</v>
      </c>
      <c r="I228" s="114">
        <f>E217</f>
        <v>0.5</v>
      </c>
      <c r="J228" s="94" t="s">
        <v>0</v>
      </c>
      <c r="K228" s="216">
        <f>K227*I228</f>
        <v>572.8605</v>
      </c>
      <c r="L228" s="217"/>
      <c r="M228" s="335">
        <f aca="true" t="shared" si="48" ref="M228:M236">K228-E228</f>
        <v>92.24025</v>
      </c>
      <c r="N228" s="215" t="s">
        <v>382</v>
      </c>
      <c r="O228" s="114">
        <f>E217</f>
        <v>0.5</v>
      </c>
      <c r="P228" s="94" t="s">
        <v>0</v>
      </c>
      <c r="Q228" s="216">
        <f>Q227*O228</f>
        <v>611.6985000000001</v>
      </c>
      <c r="R228" s="217"/>
      <c r="S228" s="400">
        <f aca="true" t="shared" si="49" ref="S228:S236">Q228-K228</f>
        <v>38.83800000000008</v>
      </c>
      <c r="T228" s="177">
        <f aca="true" t="shared" si="50" ref="T228:T236">Q228-E228</f>
        <v>131.07825000000008</v>
      </c>
      <c r="U228" s="215" t="s">
        <v>382</v>
      </c>
      <c r="V228" s="114">
        <f>E217</f>
        <v>0.5</v>
      </c>
      <c r="W228" s="94" t="s">
        <v>0</v>
      </c>
      <c r="X228" s="216">
        <f>X227*V228</f>
        <v>634.03035</v>
      </c>
      <c r="Y228" s="217"/>
      <c r="Z228" s="425">
        <f aca="true" t="shared" si="51" ref="Z228:Z236">X228-R228</f>
        <v>634.03035</v>
      </c>
      <c r="AA228" s="422">
        <f aca="true" t="shared" si="52" ref="AA228:AA236">X228-Q228</f>
        <v>22.331849999999918</v>
      </c>
      <c r="AB228" s="215" t="s">
        <v>382</v>
      </c>
      <c r="AC228" s="114">
        <f>E217</f>
        <v>0.5</v>
      </c>
      <c r="AD228" s="94" t="s">
        <v>0</v>
      </c>
      <c r="AE228" s="216">
        <f>AE227*AC228</f>
        <v>655.3912500000001</v>
      </c>
      <c r="AF228" s="217"/>
      <c r="AG228" s="425">
        <f aca="true" t="shared" si="53" ref="AG228:AG236">AE228-X228</f>
        <v>21.36090000000013</v>
      </c>
      <c r="AH228" s="422">
        <f aca="true" t="shared" si="54" ref="AH228:AH236">AE228-Q228</f>
        <v>43.692750000000046</v>
      </c>
      <c r="AI228" s="215" t="s">
        <v>382</v>
      </c>
      <c r="AJ228" s="114">
        <f>E217</f>
        <v>0.5</v>
      </c>
      <c r="AK228" s="94" t="s">
        <v>0</v>
      </c>
      <c r="AL228" s="216">
        <f>AL227*AJ228</f>
        <v>680.83014</v>
      </c>
      <c r="AM228" s="217"/>
      <c r="AN228" s="425">
        <f aca="true" t="shared" si="55" ref="AN228:AN236">AL228-AE228</f>
        <v>25.4388899999999</v>
      </c>
      <c r="AO228" s="422">
        <f aca="true" t="shared" si="56" ref="AO228:AO236">AL228-Q228</f>
        <v>69.13163999999995</v>
      </c>
    </row>
    <row r="229" spans="2:41" ht="15.75">
      <c r="B229" s="215" t="s">
        <v>387</v>
      </c>
      <c r="C229" s="328">
        <f>E229/9.4</f>
        <v>20</v>
      </c>
      <c r="D229" s="174" t="s">
        <v>414</v>
      </c>
      <c r="E229" s="216">
        <f>IF(E219&gt;20,188,cod06medoct07*E219)</f>
        <v>188</v>
      </c>
      <c r="F229" s="217"/>
      <c r="G229" s="335"/>
      <c r="H229" s="215" t="s">
        <v>387</v>
      </c>
      <c r="I229" s="328">
        <f>K229/9.4</f>
        <v>30</v>
      </c>
      <c r="J229" s="174" t="s">
        <v>414</v>
      </c>
      <c r="K229" s="216">
        <f>IF(E219&gt;30,282,cod06medoct07*E219)</f>
        <v>282</v>
      </c>
      <c r="L229" s="217"/>
      <c r="M229" s="335">
        <f t="shared" si="48"/>
        <v>94</v>
      </c>
      <c r="N229" s="215" t="s">
        <v>387</v>
      </c>
      <c r="O229" s="328">
        <f>Q229/9.4</f>
        <v>30</v>
      </c>
      <c r="P229" s="174" t="s">
        <v>414</v>
      </c>
      <c r="Q229" s="216">
        <f>IF(E219&gt;30,282,cod06medoct07*E219)</f>
        <v>282</v>
      </c>
      <c r="R229" s="217"/>
      <c r="S229" s="400">
        <f t="shared" si="49"/>
        <v>0</v>
      </c>
      <c r="T229" s="177">
        <f t="shared" si="50"/>
        <v>94</v>
      </c>
      <c r="U229" s="215" t="s">
        <v>387</v>
      </c>
      <c r="V229" s="328">
        <f>X229/9.4</f>
        <v>30</v>
      </c>
      <c r="W229" s="174" t="s">
        <v>414</v>
      </c>
      <c r="X229" s="216">
        <f>IF(E219&gt;30,282,cod06medoct07*E219)</f>
        <v>282</v>
      </c>
      <c r="Y229" s="217"/>
      <c r="Z229" s="425">
        <f t="shared" si="51"/>
        <v>282</v>
      </c>
      <c r="AA229" s="422">
        <f t="shared" si="52"/>
        <v>0</v>
      </c>
      <c r="AB229" s="215" t="s">
        <v>387</v>
      </c>
      <c r="AC229" s="328">
        <f>AE229/9.4</f>
        <v>30</v>
      </c>
      <c r="AD229" s="174" t="s">
        <v>414</v>
      </c>
      <c r="AE229" s="216">
        <f>IF(E219&gt;30,282,cod06medoct07*E219)</f>
        <v>282</v>
      </c>
      <c r="AF229" s="217"/>
      <c r="AG229" s="425">
        <f t="shared" si="53"/>
        <v>0</v>
      </c>
      <c r="AH229" s="422">
        <f t="shared" si="54"/>
        <v>0</v>
      </c>
      <c r="AI229" s="215" t="s">
        <v>387</v>
      </c>
      <c r="AJ229" s="328">
        <f>AL229/9.4</f>
        <v>30</v>
      </c>
      <c r="AK229" s="174" t="s">
        <v>414</v>
      </c>
      <c r="AL229" s="216">
        <f>IF(E219&gt;30,282,cod06medoct07*E219)</f>
        <v>282</v>
      </c>
      <c r="AM229" s="217"/>
      <c r="AN229" s="425">
        <f t="shared" si="55"/>
        <v>0</v>
      </c>
      <c r="AO229" s="422">
        <f t="shared" si="56"/>
        <v>0</v>
      </c>
    </row>
    <row r="230" spans="2:41" ht="12.75">
      <c r="B230" s="218" t="s">
        <v>388</v>
      </c>
      <c r="C230" s="114">
        <v>0.07</v>
      </c>
      <c r="D230" s="174" t="s">
        <v>419</v>
      </c>
      <c r="E230" s="216">
        <f>E229*0.07</f>
        <v>13.160000000000002</v>
      </c>
      <c r="F230" s="217"/>
      <c r="G230" s="335"/>
      <c r="H230" s="218" t="s">
        <v>388</v>
      </c>
      <c r="I230" s="114">
        <v>0.07</v>
      </c>
      <c r="J230" s="174" t="s">
        <v>419</v>
      </c>
      <c r="K230" s="216">
        <f>K229*0.07</f>
        <v>19.740000000000002</v>
      </c>
      <c r="L230" s="217"/>
      <c r="M230" s="335">
        <f t="shared" si="48"/>
        <v>6.58</v>
      </c>
      <c r="N230" s="218" t="s">
        <v>388</v>
      </c>
      <c r="O230" s="114">
        <v>0.07</v>
      </c>
      <c r="P230" s="174" t="s">
        <v>419</v>
      </c>
      <c r="Q230" s="216">
        <f>Q229*0.07</f>
        <v>19.740000000000002</v>
      </c>
      <c r="R230" s="217"/>
      <c r="S230" s="400">
        <f t="shared" si="49"/>
        <v>0</v>
      </c>
      <c r="T230" s="177">
        <f t="shared" si="50"/>
        <v>6.58</v>
      </c>
      <c r="U230" s="218" t="s">
        <v>388</v>
      </c>
      <c r="V230" s="114">
        <v>0.07</v>
      </c>
      <c r="W230" s="174" t="s">
        <v>419</v>
      </c>
      <c r="X230" s="216">
        <f>X229*0.07</f>
        <v>19.740000000000002</v>
      </c>
      <c r="Y230" s="217"/>
      <c r="Z230" s="425">
        <f t="shared" si="51"/>
        <v>19.740000000000002</v>
      </c>
      <c r="AA230" s="422">
        <f t="shared" si="52"/>
        <v>0</v>
      </c>
      <c r="AB230" s="218" t="s">
        <v>388</v>
      </c>
      <c r="AC230" s="114">
        <v>0.07</v>
      </c>
      <c r="AD230" s="174" t="s">
        <v>419</v>
      </c>
      <c r="AE230" s="216">
        <f>AE229*0.07</f>
        <v>19.740000000000002</v>
      </c>
      <c r="AF230" s="217"/>
      <c r="AG230" s="425">
        <f t="shared" si="53"/>
        <v>0</v>
      </c>
      <c r="AH230" s="422">
        <f t="shared" si="54"/>
        <v>0</v>
      </c>
      <c r="AI230" s="218" t="s">
        <v>388</v>
      </c>
      <c r="AJ230" s="114">
        <v>0.07</v>
      </c>
      <c r="AK230" s="174" t="s">
        <v>419</v>
      </c>
      <c r="AL230" s="216">
        <f>AL229*0.07</f>
        <v>19.740000000000002</v>
      </c>
      <c r="AM230" s="217"/>
      <c r="AN230" s="425">
        <f t="shared" si="55"/>
        <v>0</v>
      </c>
      <c r="AO230" s="422">
        <f t="shared" si="56"/>
        <v>0</v>
      </c>
    </row>
    <row r="231" spans="2:41" ht="15.75">
      <c r="B231" s="219" t="s">
        <v>389</v>
      </c>
      <c r="C231" s="389">
        <f>E231/7.3333</f>
        <v>30</v>
      </c>
      <c r="D231" s="94" t="s">
        <v>401</v>
      </c>
      <c r="E231" s="216">
        <f>IF(E220*7.3333&gt;220,220,E220*7.3333)</f>
        <v>219.99900000000002</v>
      </c>
      <c r="F231" s="217"/>
      <c r="G231" s="335"/>
      <c r="H231" s="219" t="s">
        <v>389</v>
      </c>
      <c r="I231" s="389">
        <f>K231/7.3333</f>
        <v>30</v>
      </c>
      <c r="J231" s="94" t="s">
        <v>401</v>
      </c>
      <c r="K231" s="216">
        <f>IF(E220*7.3333&gt;220,220,E220*7.3333)</f>
        <v>219.99900000000002</v>
      </c>
      <c r="L231" s="217"/>
      <c r="M231" s="335">
        <f t="shared" si="48"/>
        <v>0</v>
      </c>
      <c r="N231" s="219" t="s">
        <v>389</v>
      </c>
      <c r="O231" s="389">
        <f>Q231/7.3333</f>
        <v>30</v>
      </c>
      <c r="P231" s="94" t="s">
        <v>401</v>
      </c>
      <c r="Q231" s="216">
        <f>IF(E220*7.3333&gt;220,220,E220*7.3333)</f>
        <v>219.99900000000002</v>
      </c>
      <c r="R231" s="217"/>
      <c r="S231" s="400">
        <f t="shared" si="49"/>
        <v>0</v>
      </c>
      <c r="T231" s="177">
        <f t="shared" si="50"/>
        <v>0</v>
      </c>
      <c r="U231" s="219" t="s">
        <v>389</v>
      </c>
      <c r="V231" s="389">
        <f>X231/7.3333</f>
        <v>30</v>
      </c>
      <c r="W231" s="94" t="s">
        <v>401</v>
      </c>
      <c r="X231" s="216">
        <f>IF(E220*7.3333&gt;220,220,E220*7.3333)</f>
        <v>219.99900000000002</v>
      </c>
      <c r="Y231" s="217"/>
      <c r="Z231" s="425">
        <f t="shared" si="51"/>
        <v>219.99900000000002</v>
      </c>
      <c r="AA231" s="422">
        <f t="shared" si="52"/>
        <v>0</v>
      </c>
      <c r="AB231" s="219" t="s">
        <v>389</v>
      </c>
      <c r="AC231" s="389">
        <f>AE231/7.3333</f>
        <v>30</v>
      </c>
      <c r="AD231" s="94" t="s">
        <v>401</v>
      </c>
      <c r="AE231" s="216">
        <f>IF(E220*7.3333&gt;220,220,E220*7.3333)</f>
        <v>219.99900000000002</v>
      </c>
      <c r="AF231" s="217"/>
      <c r="AG231" s="425">
        <f t="shared" si="53"/>
        <v>0</v>
      </c>
      <c r="AH231" s="422">
        <f t="shared" si="54"/>
        <v>0</v>
      </c>
      <c r="AI231" s="219" t="s">
        <v>389</v>
      </c>
      <c r="AJ231" s="389">
        <f>AL231/7.3333</f>
        <v>30</v>
      </c>
      <c r="AK231" s="94" t="s">
        <v>401</v>
      </c>
      <c r="AL231" s="216">
        <f>IF(E220*7.3333&gt;220,220,E220*7.3333)</f>
        <v>219.99900000000002</v>
      </c>
      <c r="AM231" s="217"/>
      <c r="AN231" s="425">
        <f t="shared" si="55"/>
        <v>0</v>
      </c>
      <c r="AO231" s="422">
        <f t="shared" si="56"/>
        <v>0</v>
      </c>
    </row>
    <row r="232" spans="2:41" ht="15.75">
      <c r="B232" s="215" t="s">
        <v>390</v>
      </c>
      <c r="C232" s="389">
        <f>E232/6.6666</f>
        <v>30</v>
      </c>
      <c r="D232" s="94" t="s">
        <v>420</v>
      </c>
      <c r="E232" s="216">
        <f>IF(E221*6.6666&gt;200,200,E221*6.6666)</f>
        <v>199.998</v>
      </c>
      <c r="F232" s="220"/>
      <c r="G232" s="335"/>
      <c r="H232" s="215" t="s">
        <v>390</v>
      </c>
      <c r="I232" s="389">
        <f>K232/6.6666</f>
        <v>30</v>
      </c>
      <c r="J232" s="94" t="s">
        <v>420</v>
      </c>
      <c r="K232" s="216">
        <f>IF(E221*6.6666&gt;200,200,E221*6.6666)</f>
        <v>199.998</v>
      </c>
      <c r="L232" s="220"/>
      <c r="M232" s="335">
        <f t="shared" si="48"/>
        <v>0</v>
      </c>
      <c r="N232" s="215" t="s">
        <v>390</v>
      </c>
      <c r="O232" s="389">
        <f>Q232/6.6666</f>
        <v>30</v>
      </c>
      <c r="P232" s="94" t="s">
        <v>420</v>
      </c>
      <c r="Q232" s="216">
        <f>IF(E221*6.6666&gt;200,200,E221*6.6666)</f>
        <v>199.998</v>
      </c>
      <c r="R232" s="220"/>
      <c r="S232" s="400">
        <f t="shared" si="49"/>
        <v>0</v>
      </c>
      <c r="T232" s="177">
        <f t="shared" si="50"/>
        <v>0</v>
      </c>
      <c r="U232" s="215" t="s">
        <v>390</v>
      </c>
      <c r="V232" s="389">
        <f>X232/6.6666</f>
        <v>30</v>
      </c>
      <c r="W232" s="94" t="s">
        <v>420</v>
      </c>
      <c r="X232" s="216">
        <f>IF(E221*6.6666&gt;200,200,E221*6.6666)</f>
        <v>199.998</v>
      </c>
      <c r="Y232" s="220"/>
      <c r="Z232" s="425">
        <f t="shared" si="51"/>
        <v>199.998</v>
      </c>
      <c r="AA232" s="422">
        <f t="shared" si="52"/>
        <v>0</v>
      </c>
      <c r="AB232" s="215" t="s">
        <v>390</v>
      </c>
      <c r="AC232" s="389">
        <f>AE232/6.6666</f>
        <v>30</v>
      </c>
      <c r="AD232" s="94" t="s">
        <v>420</v>
      </c>
      <c r="AE232" s="216">
        <f>IF(E221*6.6666&gt;200,200,E221*6.6666)</f>
        <v>199.998</v>
      </c>
      <c r="AF232" s="220"/>
      <c r="AG232" s="425">
        <f t="shared" si="53"/>
        <v>0</v>
      </c>
      <c r="AH232" s="422">
        <f t="shared" si="54"/>
        <v>0</v>
      </c>
      <c r="AI232" s="215" t="s">
        <v>390</v>
      </c>
      <c r="AJ232" s="389">
        <f>AL232/6.6666</f>
        <v>30</v>
      </c>
      <c r="AK232" s="94" t="s">
        <v>420</v>
      </c>
      <c r="AL232" s="216">
        <f>IF(E221*6.6666&gt;200,200,E221*6.6666)</f>
        <v>199.998</v>
      </c>
      <c r="AM232" s="220"/>
      <c r="AN232" s="425">
        <f t="shared" si="55"/>
        <v>0</v>
      </c>
      <c r="AO232" s="422">
        <f t="shared" si="56"/>
        <v>0</v>
      </c>
    </row>
    <row r="233" spans="2:41" ht="12.75">
      <c r="B233" s="215" t="s">
        <v>385</v>
      </c>
      <c r="C233" s="114">
        <v>0.07</v>
      </c>
      <c r="D233" s="114" t="s">
        <v>416</v>
      </c>
      <c r="E233" s="216">
        <f>(E227+E228)*C233</f>
        <v>100.93025250000001</v>
      </c>
      <c r="F233" s="217"/>
      <c r="G233" s="335"/>
      <c r="H233" s="215" t="s">
        <v>385</v>
      </c>
      <c r="I233" s="114">
        <v>0.07</v>
      </c>
      <c r="J233" s="114" t="s">
        <v>416</v>
      </c>
      <c r="K233" s="216">
        <f>(K227+K228)*I233</f>
        <v>120.30070500000001</v>
      </c>
      <c r="L233" s="217"/>
      <c r="M233" s="335">
        <f t="shared" si="48"/>
        <v>19.3704525</v>
      </c>
      <c r="N233" s="215" t="s">
        <v>385</v>
      </c>
      <c r="O233" s="114">
        <v>0.07</v>
      </c>
      <c r="P233" s="114" t="s">
        <v>416</v>
      </c>
      <c r="Q233" s="216">
        <f>(Q227+Q228)*O233</f>
        <v>128.45668500000005</v>
      </c>
      <c r="R233" s="217"/>
      <c r="S233" s="400">
        <f t="shared" si="49"/>
        <v>8.155980000000042</v>
      </c>
      <c r="T233" s="177">
        <f t="shared" si="50"/>
        <v>27.52643250000004</v>
      </c>
      <c r="U233" s="215" t="s">
        <v>385</v>
      </c>
      <c r="V233" s="114">
        <v>0.07</v>
      </c>
      <c r="W233" s="114" t="s">
        <v>416</v>
      </c>
      <c r="X233" s="216">
        <f>(X227+X228)*V233</f>
        <v>133.1463735</v>
      </c>
      <c r="Y233" s="217"/>
      <c r="Z233" s="425">
        <f t="shared" si="51"/>
        <v>133.1463735</v>
      </c>
      <c r="AA233" s="422">
        <f t="shared" si="52"/>
        <v>4.68968849999996</v>
      </c>
      <c r="AB233" s="215" t="s">
        <v>385</v>
      </c>
      <c r="AC233" s="114">
        <v>0.07</v>
      </c>
      <c r="AD233" s="114" t="s">
        <v>416</v>
      </c>
      <c r="AE233" s="216">
        <f>(AE227+AE228)*AC233</f>
        <v>137.63216250000005</v>
      </c>
      <c r="AF233" s="217"/>
      <c r="AG233" s="425">
        <f t="shared" si="53"/>
        <v>4.4857890000000396</v>
      </c>
      <c r="AH233" s="422">
        <f t="shared" si="54"/>
        <v>9.1754775</v>
      </c>
      <c r="AI233" s="215" t="s">
        <v>385</v>
      </c>
      <c r="AJ233" s="114">
        <v>0.07</v>
      </c>
      <c r="AK233" s="114" t="s">
        <v>416</v>
      </c>
      <c r="AL233" s="216">
        <f>(AL227+AL228)*AJ233</f>
        <v>142.97432940000002</v>
      </c>
      <c r="AM233" s="217"/>
      <c r="AN233" s="425">
        <f t="shared" si="55"/>
        <v>5.342166899999967</v>
      </c>
      <c r="AO233" s="422">
        <f t="shared" si="56"/>
        <v>14.517644399999966</v>
      </c>
    </row>
    <row r="234" spans="1:41" ht="15.75">
      <c r="A234" s="6"/>
      <c r="B234" s="215" t="s">
        <v>379</v>
      </c>
      <c r="C234" s="404">
        <v>0</v>
      </c>
      <c r="D234" s="114" t="s">
        <v>455</v>
      </c>
      <c r="E234" s="302">
        <f>E227*C234</f>
        <v>0</v>
      </c>
      <c r="F234" s="217"/>
      <c r="G234" s="335"/>
      <c r="H234" s="215" t="s">
        <v>379</v>
      </c>
      <c r="I234" s="329">
        <f>C234</f>
        <v>0</v>
      </c>
      <c r="J234" s="114" t="s">
        <v>455</v>
      </c>
      <c r="K234" s="302">
        <f>K227*I234</f>
        <v>0</v>
      </c>
      <c r="L234" s="217"/>
      <c r="M234" s="335">
        <f t="shared" si="48"/>
        <v>0</v>
      </c>
      <c r="N234" s="215" t="s">
        <v>379</v>
      </c>
      <c r="O234" s="329">
        <f>I234</f>
        <v>0</v>
      </c>
      <c r="P234" s="114" t="s">
        <v>455</v>
      </c>
      <c r="Q234" s="302">
        <f>Q227*O234</f>
        <v>0</v>
      </c>
      <c r="R234" s="217"/>
      <c r="S234" s="400">
        <f t="shared" si="49"/>
        <v>0</v>
      </c>
      <c r="T234" s="177">
        <f t="shared" si="50"/>
        <v>0</v>
      </c>
      <c r="U234" s="215" t="s">
        <v>379</v>
      </c>
      <c r="V234" s="329">
        <f>O234</f>
        <v>0</v>
      </c>
      <c r="W234" s="114" t="s">
        <v>455</v>
      </c>
      <c r="X234" s="302">
        <f>X227*V234</f>
        <v>0</v>
      </c>
      <c r="Y234" s="217"/>
      <c r="Z234" s="425">
        <f t="shared" si="51"/>
        <v>0</v>
      </c>
      <c r="AA234" s="422">
        <f t="shared" si="52"/>
        <v>0</v>
      </c>
      <c r="AB234" s="215" t="s">
        <v>379</v>
      </c>
      <c r="AC234" s="329">
        <f>O234</f>
        <v>0</v>
      </c>
      <c r="AD234" s="114" t="s">
        <v>455</v>
      </c>
      <c r="AE234" s="302">
        <f>AE227*AC234</f>
        <v>0</v>
      </c>
      <c r="AF234" s="217"/>
      <c r="AG234" s="425">
        <f t="shared" si="53"/>
        <v>0</v>
      </c>
      <c r="AH234" s="422">
        <f t="shared" si="54"/>
        <v>0</v>
      </c>
      <c r="AI234" s="215" t="s">
        <v>379</v>
      </c>
      <c r="AJ234" s="329">
        <f>O234</f>
        <v>0</v>
      </c>
      <c r="AK234" s="114" t="s">
        <v>455</v>
      </c>
      <c r="AL234" s="302">
        <f>AL227*AJ234</f>
        <v>0</v>
      </c>
      <c r="AM234" s="217"/>
      <c r="AN234" s="425">
        <f t="shared" si="55"/>
        <v>0</v>
      </c>
      <c r="AO234" s="422">
        <f t="shared" si="56"/>
        <v>0</v>
      </c>
    </row>
    <row r="235" spans="2:41" ht="16.5" thickBot="1">
      <c r="B235" s="222" t="s">
        <v>426</v>
      </c>
      <c r="C235" s="131"/>
      <c r="D235" s="131"/>
      <c r="E235" s="309">
        <v>0</v>
      </c>
      <c r="F235" s="217"/>
      <c r="G235" s="335"/>
      <c r="H235" s="222" t="s">
        <v>426</v>
      </c>
      <c r="I235" s="131"/>
      <c r="J235" s="131"/>
      <c r="K235" s="330">
        <f>E235</f>
        <v>0</v>
      </c>
      <c r="L235" s="217"/>
      <c r="M235" s="335">
        <f t="shared" si="48"/>
        <v>0</v>
      </c>
      <c r="N235" s="222" t="s">
        <v>426</v>
      </c>
      <c r="O235" s="131"/>
      <c r="P235" s="131"/>
      <c r="Q235" s="330">
        <f>K235</f>
        <v>0</v>
      </c>
      <c r="R235" s="217"/>
      <c r="S235" s="400">
        <f t="shared" si="49"/>
        <v>0</v>
      </c>
      <c r="T235" s="177">
        <f t="shared" si="50"/>
        <v>0</v>
      </c>
      <c r="U235" s="222" t="s">
        <v>426</v>
      </c>
      <c r="V235" s="131"/>
      <c r="W235" s="131"/>
      <c r="X235" s="330">
        <f>R235</f>
        <v>0</v>
      </c>
      <c r="Y235" s="217"/>
      <c r="Z235" s="425">
        <f t="shared" si="51"/>
        <v>0</v>
      </c>
      <c r="AA235" s="422">
        <f t="shared" si="52"/>
        <v>0</v>
      </c>
      <c r="AB235" s="222" t="s">
        <v>426</v>
      </c>
      <c r="AC235" s="131"/>
      <c r="AD235" s="131"/>
      <c r="AE235" s="330">
        <f>Y235</f>
        <v>0</v>
      </c>
      <c r="AF235" s="217"/>
      <c r="AG235" s="425">
        <f t="shared" si="53"/>
        <v>0</v>
      </c>
      <c r="AH235" s="422">
        <f t="shared" si="54"/>
        <v>0</v>
      </c>
      <c r="AI235" s="222" t="s">
        <v>426</v>
      </c>
      <c r="AJ235" s="131"/>
      <c r="AK235" s="131"/>
      <c r="AL235" s="330">
        <f>AF235</f>
        <v>0</v>
      </c>
      <c r="AM235" s="217"/>
      <c r="AN235" s="425">
        <f t="shared" si="55"/>
        <v>0</v>
      </c>
      <c r="AO235" s="422">
        <f t="shared" si="56"/>
        <v>0</v>
      </c>
    </row>
    <row r="236" spans="2:41" ht="16.5" thickBot="1">
      <c r="B236" s="223"/>
      <c r="C236" s="204" t="s">
        <v>12</v>
      </c>
      <c r="D236" s="224"/>
      <c r="E236" s="190">
        <f>SUM(E227:E235)</f>
        <v>2163.9480025</v>
      </c>
      <c r="F236" s="225"/>
      <c r="G236" s="335"/>
      <c r="H236" s="223"/>
      <c r="I236" s="204" t="s">
        <v>12</v>
      </c>
      <c r="J236" s="224"/>
      <c r="K236" s="190">
        <f>SUM(K227:K235)</f>
        <v>2560.619205</v>
      </c>
      <c r="L236" s="225"/>
      <c r="M236" s="335">
        <f t="shared" si="48"/>
        <v>396.67120250000016</v>
      </c>
      <c r="N236" s="223"/>
      <c r="O236" s="204" t="s">
        <v>12</v>
      </c>
      <c r="P236" s="224"/>
      <c r="Q236" s="190">
        <f>SUM(Q227:Q235)</f>
        <v>2685.289185</v>
      </c>
      <c r="R236" s="225"/>
      <c r="S236" s="400">
        <f t="shared" si="49"/>
        <v>124.66998000000012</v>
      </c>
      <c r="T236" s="177">
        <f t="shared" si="50"/>
        <v>521.3411825000003</v>
      </c>
      <c r="U236" s="223"/>
      <c r="V236" s="204" t="s">
        <v>12</v>
      </c>
      <c r="W236" s="224"/>
      <c r="X236" s="190">
        <f>SUM(X227:X235)</f>
        <v>2756.9744235</v>
      </c>
      <c r="Y236" s="225"/>
      <c r="Z236" s="425">
        <f t="shared" si="51"/>
        <v>2756.9744235</v>
      </c>
      <c r="AA236" s="422">
        <f t="shared" si="52"/>
        <v>71.68523849999974</v>
      </c>
      <c r="AB236" s="223"/>
      <c r="AC236" s="204" t="s">
        <v>12</v>
      </c>
      <c r="AD236" s="224"/>
      <c r="AE236" s="190">
        <f>SUM(AE227:AE235)</f>
        <v>2825.5429125000005</v>
      </c>
      <c r="AF236" s="225"/>
      <c r="AG236" s="425">
        <f t="shared" si="53"/>
        <v>68.56848900000068</v>
      </c>
      <c r="AH236" s="422">
        <f t="shared" si="54"/>
        <v>140.25372750000042</v>
      </c>
      <c r="AI236" s="223"/>
      <c r="AJ236" s="204" t="s">
        <v>12</v>
      </c>
      <c r="AK236" s="224"/>
      <c r="AL236" s="190">
        <f>SUM(AL227:AL235)</f>
        <v>2907.2017493999997</v>
      </c>
      <c r="AM236" s="225"/>
      <c r="AN236" s="425">
        <f t="shared" si="55"/>
        <v>81.65883689999919</v>
      </c>
      <c r="AO236" s="422">
        <f t="shared" si="56"/>
        <v>221.9125643999996</v>
      </c>
    </row>
    <row r="237" spans="2:41" ht="15.75">
      <c r="B237" s="221" t="s">
        <v>421</v>
      </c>
      <c r="C237" s="226"/>
      <c r="D237" s="193" t="s">
        <v>422</v>
      </c>
      <c r="E237" s="240">
        <v>0</v>
      </c>
      <c r="F237" s="199">
        <f>-E237</f>
        <v>0</v>
      </c>
      <c r="G237" s="34"/>
      <c r="H237" s="221" t="s">
        <v>421</v>
      </c>
      <c r="I237" s="226"/>
      <c r="J237" s="193" t="s">
        <v>422</v>
      </c>
      <c r="K237" s="324">
        <f>E237</f>
        <v>0</v>
      </c>
      <c r="L237" s="199">
        <f>-K237</f>
        <v>0</v>
      </c>
      <c r="M237" s="34">
        <f aca="true" t="shared" si="57" ref="M237:M242">L237-F237</f>
        <v>0</v>
      </c>
      <c r="N237" s="221" t="s">
        <v>421</v>
      </c>
      <c r="O237" s="226"/>
      <c r="P237" s="193" t="s">
        <v>422</v>
      </c>
      <c r="Q237" s="324">
        <f>K237</f>
        <v>0</v>
      </c>
      <c r="R237" s="199">
        <f>-Q237</f>
        <v>0</v>
      </c>
      <c r="S237" s="401">
        <f aca="true" t="shared" si="58" ref="S237:S242">R237-L237</f>
        <v>0</v>
      </c>
      <c r="T237" s="402">
        <f aca="true" t="shared" si="59" ref="T237:T242">R237-F237</f>
        <v>0</v>
      </c>
      <c r="U237" s="221" t="s">
        <v>421</v>
      </c>
      <c r="V237" s="226"/>
      <c r="W237" s="193" t="s">
        <v>422</v>
      </c>
      <c r="X237" s="324">
        <f>R237</f>
        <v>0</v>
      </c>
      <c r="Y237" s="199">
        <f>-X237</f>
        <v>0</v>
      </c>
      <c r="Z237" s="426">
        <f aca="true" t="shared" si="60" ref="Z237:Z242">Y237-R237</f>
        <v>0</v>
      </c>
      <c r="AA237" s="424">
        <f>Y237-L237</f>
        <v>0</v>
      </c>
      <c r="AB237" s="221" t="s">
        <v>421</v>
      </c>
      <c r="AC237" s="226"/>
      <c r="AD237" s="193" t="s">
        <v>422</v>
      </c>
      <c r="AE237" s="324">
        <f>Y237</f>
        <v>0</v>
      </c>
      <c r="AF237" s="199">
        <f>-AE237</f>
        <v>0</v>
      </c>
      <c r="AG237" s="426">
        <f aca="true" t="shared" si="61" ref="AG237:AG242">AF237-Y237</f>
        <v>0</v>
      </c>
      <c r="AH237" s="424">
        <f aca="true" t="shared" si="62" ref="AH237:AH242">AF237-R237</f>
        <v>0</v>
      </c>
      <c r="AI237" s="221" t="s">
        <v>421</v>
      </c>
      <c r="AJ237" s="226"/>
      <c r="AK237" s="193" t="s">
        <v>422</v>
      </c>
      <c r="AL237" s="324">
        <f>AF237</f>
        <v>0</v>
      </c>
      <c r="AM237" s="199">
        <f>-AL237</f>
        <v>0</v>
      </c>
      <c r="AN237" s="426">
        <f aca="true" t="shared" si="63" ref="AN237:AN242">AM237-AF237</f>
        <v>0</v>
      </c>
      <c r="AO237" s="424">
        <f aca="true" t="shared" si="64" ref="AO237:AO242">AM237-R237</f>
        <v>0</v>
      </c>
    </row>
    <row r="238" spans="2:41" ht="12.75">
      <c r="B238" s="94">
        <v>502</v>
      </c>
      <c r="C238" s="227">
        <v>0.16</v>
      </c>
      <c r="D238" s="196" t="s">
        <v>425</v>
      </c>
      <c r="E238" s="196"/>
      <c r="F238" s="228">
        <f>-(E227+E228+E233+E229+E230+F237)*C238</f>
        <v>-279.0321604</v>
      </c>
      <c r="G238" s="34"/>
      <c r="H238" s="94">
        <v>502</v>
      </c>
      <c r="I238" s="227">
        <v>0.16</v>
      </c>
      <c r="J238" s="196" t="s">
        <v>425</v>
      </c>
      <c r="K238" s="196"/>
      <c r="L238" s="228">
        <f>-(K227+K228+K233+K229+K230+L237)*I238</f>
        <v>-342.49955279999995</v>
      </c>
      <c r="M238" s="34">
        <f t="shared" si="57"/>
        <v>-63.46739239999994</v>
      </c>
      <c r="N238" s="94">
        <v>502</v>
      </c>
      <c r="O238" s="227">
        <v>0.16</v>
      </c>
      <c r="P238" s="196" t="s">
        <v>425</v>
      </c>
      <c r="Q238" s="196"/>
      <c r="R238" s="228">
        <f>-(Q227+Q228+Q233+Q229+Q230+R237)*O238</f>
        <v>-362.44674960000003</v>
      </c>
      <c r="S238" s="401">
        <f t="shared" si="58"/>
        <v>-19.947196800000086</v>
      </c>
      <c r="T238" s="402">
        <f t="shared" si="59"/>
        <v>-83.41458920000002</v>
      </c>
      <c r="U238" s="94">
        <v>502</v>
      </c>
      <c r="V238" s="227">
        <v>0.16</v>
      </c>
      <c r="W238" s="196" t="s">
        <v>425</v>
      </c>
      <c r="X238" s="196"/>
      <c r="Y238" s="228">
        <f>-(X227+X228+X233+X229+X230+Y237)*V238</f>
        <v>-373.9163877599999</v>
      </c>
      <c r="Z238" s="426">
        <f t="shared" si="60"/>
        <v>-11.469638159999874</v>
      </c>
      <c r="AA238" s="424">
        <f>Y238-R238</f>
        <v>-11.469638159999874</v>
      </c>
      <c r="AB238" s="94">
        <v>502</v>
      </c>
      <c r="AC238" s="227">
        <v>0.16</v>
      </c>
      <c r="AD238" s="196" t="s">
        <v>425</v>
      </c>
      <c r="AE238" s="196"/>
      <c r="AF238" s="228">
        <f>-(AE227+AE228+AE233+AE229+AE230+AF237)*AC238</f>
        <v>-384.88734600000004</v>
      </c>
      <c r="AG238" s="426">
        <f t="shared" si="61"/>
        <v>-10.97095824000013</v>
      </c>
      <c r="AH238" s="424">
        <f t="shared" si="62"/>
        <v>-22.440596400000004</v>
      </c>
      <c r="AI238" s="94">
        <v>502</v>
      </c>
      <c r="AJ238" s="227">
        <v>0.16</v>
      </c>
      <c r="AK238" s="196" t="s">
        <v>425</v>
      </c>
      <c r="AL238" s="196"/>
      <c r="AM238" s="228">
        <f>-(AL227+AL228+AL233+AL229+AL230+AM237)*AJ238</f>
        <v>-397.952759904</v>
      </c>
      <c r="AN238" s="426">
        <f t="shared" si="63"/>
        <v>-13.065413903999968</v>
      </c>
      <c r="AO238" s="424">
        <f t="shared" si="64"/>
        <v>-35.50601030399997</v>
      </c>
    </row>
    <row r="239" spans="2:41" ht="15" customHeight="1">
      <c r="B239" s="94">
        <v>504</v>
      </c>
      <c r="C239" s="195">
        <v>0.006</v>
      </c>
      <c r="D239" s="172" t="s">
        <v>424</v>
      </c>
      <c r="E239" s="172"/>
      <c r="F239" s="228">
        <f>-(E227+E228+E233+E229+E230+F237)*C239</f>
        <v>-10.463706015000001</v>
      </c>
      <c r="G239" s="34"/>
      <c r="H239" s="94">
        <v>504</v>
      </c>
      <c r="I239" s="195">
        <v>0.006</v>
      </c>
      <c r="J239" s="172" t="s">
        <v>424</v>
      </c>
      <c r="K239" s="172"/>
      <c r="L239" s="228">
        <f>-(K227+K228+K233+K229+K230+L237)*I239</f>
        <v>-12.843733229999998</v>
      </c>
      <c r="M239" s="34">
        <f t="shared" si="57"/>
        <v>-2.3800272149999966</v>
      </c>
      <c r="N239" s="94">
        <v>504</v>
      </c>
      <c r="O239" s="195">
        <v>0.006</v>
      </c>
      <c r="P239" s="172" t="s">
        <v>424</v>
      </c>
      <c r="Q239" s="172"/>
      <c r="R239" s="228">
        <f>-(Q227+Q228+Q233+Q229+Q230+R237)*O239</f>
        <v>-13.591753110000003</v>
      </c>
      <c r="S239" s="401">
        <f t="shared" si="58"/>
        <v>-0.7480198800000046</v>
      </c>
      <c r="T239" s="402">
        <f t="shared" si="59"/>
        <v>-3.128047095000001</v>
      </c>
      <c r="U239" s="94">
        <v>504</v>
      </c>
      <c r="V239" s="195">
        <v>0.006</v>
      </c>
      <c r="W239" s="172" t="s">
        <v>424</v>
      </c>
      <c r="X239" s="172"/>
      <c r="Y239" s="228">
        <f>-(X227+X228+X233+X229+X230+Y237)*V239</f>
        <v>-14.021864540999998</v>
      </c>
      <c r="Z239" s="426">
        <f t="shared" si="60"/>
        <v>-0.43011143099999494</v>
      </c>
      <c r="AA239" s="424">
        <f>Y239-R239</f>
        <v>-0.43011143099999494</v>
      </c>
      <c r="AB239" s="94">
        <v>504</v>
      </c>
      <c r="AC239" s="195">
        <v>0.006</v>
      </c>
      <c r="AD239" s="172" t="s">
        <v>424</v>
      </c>
      <c r="AE239" s="172"/>
      <c r="AF239" s="228">
        <f>-(AE227+AE228+AE233+AE229+AE230+AF237)*AC239</f>
        <v>-14.433275475000002</v>
      </c>
      <c r="AG239" s="426">
        <f t="shared" si="61"/>
        <v>-0.4114109340000045</v>
      </c>
      <c r="AH239" s="424">
        <f t="shared" si="62"/>
        <v>-0.8415223649999994</v>
      </c>
      <c r="AI239" s="94">
        <v>504</v>
      </c>
      <c r="AJ239" s="195">
        <v>0.006</v>
      </c>
      <c r="AK239" s="172" t="s">
        <v>424</v>
      </c>
      <c r="AL239" s="172"/>
      <c r="AM239" s="228">
        <f>-(AL227+AL228+AL233+AL229+AL230+AM237)*AJ239</f>
        <v>-14.9232284964</v>
      </c>
      <c r="AN239" s="426">
        <f t="shared" si="63"/>
        <v>-0.4899530213999981</v>
      </c>
      <c r="AO239" s="424">
        <f t="shared" si="64"/>
        <v>-1.3314753863999975</v>
      </c>
    </row>
    <row r="240" spans="2:41" ht="12.75">
      <c r="B240" s="94">
        <v>505</v>
      </c>
      <c r="C240" s="114">
        <v>0.03</v>
      </c>
      <c r="D240" s="196" t="s">
        <v>423</v>
      </c>
      <c r="E240" s="196"/>
      <c r="F240" s="228">
        <f>-(E227+E228+E233+E229+E230+F237)*C240</f>
        <v>-52.318530075000005</v>
      </c>
      <c r="G240" s="34"/>
      <c r="H240" s="94">
        <v>505</v>
      </c>
      <c r="I240" s="114">
        <v>0.03</v>
      </c>
      <c r="J240" s="196" t="s">
        <v>423</v>
      </c>
      <c r="K240" s="196"/>
      <c r="L240" s="228">
        <f>-(K227+K228+K233+K229+K230+L237)*I240</f>
        <v>-64.21866614999999</v>
      </c>
      <c r="M240" s="34">
        <f t="shared" si="57"/>
        <v>-11.900136074999985</v>
      </c>
      <c r="N240" s="94">
        <v>505</v>
      </c>
      <c r="O240" s="114">
        <v>0.03</v>
      </c>
      <c r="P240" s="196" t="s">
        <v>423</v>
      </c>
      <c r="Q240" s="196"/>
      <c r="R240" s="228">
        <f>-(Q227+Q228+Q233+Q229+Q230+R237)*O240</f>
        <v>-67.95876555000001</v>
      </c>
      <c r="S240" s="401">
        <f t="shared" si="58"/>
        <v>-3.7400994000000196</v>
      </c>
      <c r="T240" s="402">
        <f t="shared" si="59"/>
        <v>-15.640235475000004</v>
      </c>
      <c r="U240" s="94">
        <v>505</v>
      </c>
      <c r="V240" s="114">
        <v>0.03</v>
      </c>
      <c r="W240" s="196" t="s">
        <v>423</v>
      </c>
      <c r="X240" s="196"/>
      <c r="Y240" s="228">
        <f>-(X227+X228+X233+X229+X230+Y237)*V240</f>
        <v>-70.10932270499998</v>
      </c>
      <c r="Z240" s="426">
        <f t="shared" si="60"/>
        <v>-2.150557154999973</v>
      </c>
      <c r="AA240" s="424">
        <f>Y240-R240</f>
        <v>-2.150557154999973</v>
      </c>
      <c r="AB240" s="94">
        <v>505</v>
      </c>
      <c r="AC240" s="114">
        <v>0.03</v>
      </c>
      <c r="AD240" s="196" t="s">
        <v>423</v>
      </c>
      <c r="AE240" s="196"/>
      <c r="AF240" s="228">
        <f>-(AE227+AE228+AE233+AE229+AE230+AF237)*AC240</f>
        <v>-72.16637737500001</v>
      </c>
      <c r="AG240" s="426">
        <f t="shared" si="61"/>
        <v>-2.057054670000028</v>
      </c>
      <c r="AH240" s="424">
        <f t="shared" si="62"/>
        <v>-4.207611825000001</v>
      </c>
      <c r="AI240" s="94">
        <v>505</v>
      </c>
      <c r="AJ240" s="114">
        <v>0.03</v>
      </c>
      <c r="AK240" s="196" t="s">
        <v>423</v>
      </c>
      <c r="AL240" s="196"/>
      <c r="AM240" s="228">
        <f>-(AL227+AL228+AL233+AL229+AL230+AM237)*AJ240</f>
        <v>-74.61614248199999</v>
      </c>
      <c r="AN240" s="426">
        <f t="shared" si="63"/>
        <v>-2.449765106999976</v>
      </c>
      <c r="AO240" s="424">
        <f t="shared" si="64"/>
        <v>-6.657376931999977</v>
      </c>
    </row>
    <row r="241" spans="2:41" ht="16.5" thickBot="1">
      <c r="B241" s="229" t="s">
        <v>2</v>
      </c>
      <c r="C241" s="310">
        <v>0</v>
      </c>
      <c r="D241" s="131"/>
      <c r="E241" s="131"/>
      <c r="F241" s="230">
        <f>-(E228+E227+E233+E229+E230+F237)*C241</f>
        <v>0</v>
      </c>
      <c r="G241" s="34"/>
      <c r="H241" s="229" t="s">
        <v>2</v>
      </c>
      <c r="I241" s="331">
        <f>C241</f>
        <v>0</v>
      </c>
      <c r="J241" s="131"/>
      <c r="K241" s="131"/>
      <c r="L241" s="230">
        <f>-(K228+K227+K233+K229+K230+L237)*I241</f>
        <v>0</v>
      </c>
      <c r="M241" s="34">
        <f t="shared" si="57"/>
        <v>0</v>
      </c>
      <c r="N241" s="229" t="s">
        <v>2</v>
      </c>
      <c r="O241" s="331">
        <f>I241</f>
        <v>0</v>
      </c>
      <c r="P241" s="131"/>
      <c r="Q241" s="131"/>
      <c r="R241" s="230">
        <f>-(Q228+Q227+Q233+Q229+Q230+R237)*O241</f>
        <v>0</v>
      </c>
      <c r="S241" s="401">
        <f t="shared" si="58"/>
        <v>0</v>
      </c>
      <c r="T241" s="402">
        <f t="shared" si="59"/>
        <v>0</v>
      </c>
      <c r="U241" s="229" t="s">
        <v>2</v>
      </c>
      <c r="V241" s="331">
        <f>P241</f>
        <v>0</v>
      </c>
      <c r="W241" s="131"/>
      <c r="X241" s="131"/>
      <c r="Y241" s="230">
        <f>-(X228+X227+X233+X229+X230+Y237)*V241</f>
        <v>0</v>
      </c>
      <c r="Z241" s="426">
        <f t="shared" si="60"/>
        <v>0</v>
      </c>
      <c r="AA241" s="424">
        <f>Y241-R241</f>
        <v>0</v>
      </c>
      <c r="AB241" s="229" t="s">
        <v>2</v>
      </c>
      <c r="AC241" s="331">
        <f>W241</f>
        <v>0</v>
      </c>
      <c r="AD241" s="131"/>
      <c r="AE241" s="131"/>
      <c r="AF241" s="230">
        <f>-(AE228+AE227+AE233+AE229+AE230+AF237)*AC241</f>
        <v>0</v>
      </c>
      <c r="AG241" s="426">
        <f t="shared" si="61"/>
        <v>0</v>
      </c>
      <c r="AH241" s="424">
        <f t="shared" si="62"/>
        <v>0</v>
      </c>
      <c r="AI241" s="229" t="s">
        <v>2</v>
      </c>
      <c r="AJ241" s="331">
        <f>AD241</f>
        <v>0</v>
      </c>
      <c r="AK241" s="131"/>
      <c r="AL241" s="131"/>
      <c r="AM241" s="230">
        <f>-(AL228+AL227+AL233+AL229+AL230+AM237)*AJ241</f>
        <v>0</v>
      </c>
      <c r="AN241" s="426">
        <f t="shared" si="63"/>
        <v>0</v>
      </c>
      <c r="AO241" s="424">
        <f t="shared" si="64"/>
        <v>0</v>
      </c>
    </row>
    <row r="242" spans="2:41" ht="16.5" thickBot="1">
      <c r="B242" s="161"/>
      <c r="C242" s="231"/>
      <c r="D242" s="204" t="s">
        <v>3</v>
      </c>
      <c r="E242" s="232"/>
      <c r="F242" s="233">
        <f>SUM(F238:F241)</f>
        <v>-341.81439649000004</v>
      </c>
      <c r="G242" s="34"/>
      <c r="H242" s="161"/>
      <c r="I242" s="231"/>
      <c r="J242" s="204" t="s">
        <v>3</v>
      </c>
      <c r="K242" s="232"/>
      <c r="L242" s="233">
        <f>SUM(L238:L241)</f>
        <v>-419.56195217999993</v>
      </c>
      <c r="M242" s="34">
        <f t="shared" si="57"/>
        <v>-77.7475556899999</v>
      </c>
      <c r="N242" s="161"/>
      <c r="O242" s="231"/>
      <c r="P242" s="204" t="s">
        <v>3</v>
      </c>
      <c r="Q242" s="232"/>
      <c r="R242" s="233">
        <f>SUM(R238:R241)</f>
        <v>-443.99726826000006</v>
      </c>
      <c r="S242" s="401">
        <f t="shared" si="58"/>
        <v>-24.43531608000012</v>
      </c>
      <c r="T242" s="402">
        <f t="shared" si="59"/>
        <v>-102.18287177000002</v>
      </c>
      <c r="U242" s="161"/>
      <c r="V242" s="231"/>
      <c r="W242" s="204" t="s">
        <v>3</v>
      </c>
      <c r="X242" s="232"/>
      <c r="Y242" s="233">
        <f>SUM(Y238:Y241)</f>
        <v>-458.0475750059999</v>
      </c>
      <c r="Z242" s="426">
        <f t="shared" si="60"/>
        <v>-14.05030674599982</v>
      </c>
      <c r="AA242" s="424">
        <f>Y242-R242</f>
        <v>-14.05030674599982</v>
      </c>
      <c r="AB242" s="161"/>
      <c r="AC242" s="231"/>
      <c r="AD242" s="204" t="s">
        <v>3</v>
      </c>
      <c r="AE242" s="232"/>
      <c r="AF242" s="233">
        <f>SUM(AF238:AF241)</f>
        <v>-471.4869988500001</v>
      </c>
      <c r="AG242" s="426">
        <f t="shared" si="61"/>
        <v>-13.439423844000203</v>
      </c>
      <c r="AH242" s="424">
        <f t="shared" si="62"/>
        <v>-27.489730590000022</v>
      </c>
      <c r="AI242" s="161"/>
      <c r="AJ242" s="231"/>
      <c r="AK242" s="204" t="s">
        <v>3</v>
      </c>
      <c r="AL242" s="232"/>
      <c r="AM242" s="233">
        <f>SUM(AM238:AM241)</f>
        <v>-487.4921308824</v>
      </c>
      <c r="AN242" s="426">
        <f t="shared" si="63"/>
        <v>-16.0051320323999</v>
      </c>
      <c r="AO242" s="424">
        <f t="shared" si="64"/>
        <v>-43.49486262239992</v>
      </c>
    </row>
    <row r="243" spans="1:38" ht="13.5" thickBot="1">
      <c r="A243" s="19"/>
      <c r="B243" s="313"/>
      <c r="C243" s="131"/>
      <c r="D243" s="217"/>
      <c r="E243" s="217"/>
      <c r="G243" s="34"/>
      <c r="H243" s="313"/>
      <c r="I243" s="131"/>
      <c r="J243" s="217"/>
      <c r="K243" s="217"/>
      <c r="N243" s="313"/>
      <c r="O243" s="131"/>
      <c r="P243" s="217"/>
      <c r="Q243" s="217"/>
      <c r="U243" s="313"/>
      <c r="V243" s="131"/>
      <c r="W243" s="217"/>
      <c r="X243" s="217"/>
      <c r="AB243" s="313"/>
      <c r="AC243" s="131"/>
      <c r="AD243" s="217"/>
      <c r="AE243" s="217"/>
      <c r="AI243" s="313"/>
      <c r="AJ243" s="131"/>
      <c r="AK243" s="217"/>
      <c r="AL243" s="217"/>
    </row>
    <row r="244" spans="2:39" ht="16.5" thickBot="1">
      <c r="B244" s="39"/>
      <c r="C244" s="204" t="s">
        <v>4</v>
      </c>
      <c r="D244" s="205"/>
      <c r="E244" s="234">
        <f>E236+F242</f>
        <v>1822.1336060099998</v>
      </c>
      <c r="F244" s="6"/>
      <c r="G244" s="34"/>
      <c r="H244" s="39"/>
      <c r="I244" s="204" t="s">
        <v>4</v>
      </c>
      <c r="J244" s="205"/>
      <c r="K244" s="234">
        <f>K236+L242</f>
        <v>2141.05725282</v>
      </c>
      <c r="L244" s="6"/>
      <c r="N244" s="39"/>
      <c r="O244" s="204" t="s">
        <v>4</v>
      </c>
      <c r="P244" s="205"/>
      <c r="Q244" s="234">
        <f>Q236+R242</f>
        <v>2241.29191674</v>
      </c>
      <c r="R244" s="6"/>
      <c r="U244" s="39"/>
      <c r="V244" s="204" t="s">
        <v>4</v>
      </c>
      <c r="W244" s="205"/>
      <c r="X244" s="234">
        <f>X236+Y242</f>
        <v>2298.926848494</v>
      </c>
      <c r="Y244" s="6"/>
      <c r="AB244" s="39"/>
      <c r="AC244" s="204" t="s">
        <v>4</v>
      </c>
      <c r="AD244" s="205"/>
      <c r="AE244" s="234">
        <f>AE236+AF242</f>
        <v>2354.0559136500005</v>
      </c>
      <c r="AF244" s="6"/>
      <c r="AI244" s="39"/>
      <c r="AJ244" s="204" t="s">
        <v>4</v>
      </c>
      <c r="AK244" s="205"/>
      <c r="AL244" s="234">
        <f>AL236+AM242</f>
        <v>2419.7096185175997</v>
      </c>
      <c r="AM244" s="6"/>
    </row>
    <row r="245" spans="2:17" ht="15.75">
      <c r="B245" s="39"/>
      <c r="C245" s="243"/>
      <c r="D245" s="243"/>
      <c r="E245" s="276"/>
      <c r="F245" s="6"/>
      <c r="H245" s="39"/>
      <c r="I245" s="243"/>
      <c r="J245" s="243"/>
      <c r="K245" s="276"/>
      <c r="L245" s="6"/>
      <c r="Q245" s="3" t="s">
        <v>567</v>
      </c>
    </row>
    <row r="246" spans="2:40" ht="18">
      <c r="B246" s="39"/>
      <c r="C246" s="243"/>
      <c r="D246" s="243"/>
      <c r="E246" s="276"/>
      <c r="F246" s="6"/>
      <c r="G246" s="235"/>
      <c r="H246" s="39"/>
      <c r="I246" s="243"/>
      <c r="J246" s="325" t="s">
        <v>535</v>
      </c>
      <c r="K246" s="326">
        <f>K244-E244</f>
        <v>318.92364681000026</v>
      </c>
      <c r="L246" s="6"/>
      <c r="N246" s="39"/>
      <c r="O246" s="243"/>
      <c r="P246" s="337" t="s">
        <v>536</v>
      </c>
      <c r="Q246" s="326">
        <f>Q244-K244</f>
        <v>100.23466392</v>
      </c>
      <c r="R246" s="338" t="s">
        <v>537</v>
      </c>
      <c r="S246" s="390">
        <f>K246+Q246</f>
        <v>419.15831073000027</v>
      </c>
      <c r="U246" s="39"/>
      <c r="V246" s="243"/>
      <c r="W246" s="337" t="s">
        <v>536</v>
      </c>
      <c r="X246" s="326">
        <f>X244-Q244</f>
        <v>57.63493175399981</v>
      </c>
      <c r="Y246" s="338" t="s">
        <v>537</v>
      </c>
      <c r="Z246" s="390">
        <f>S246+X246</f>
        <v>476.7932424840001</v>
      </c>
      <c r="AB246" s="39"/>
      <c r="AC246" s="243"/>
      <c r="AD246" s="337" t="s">
        <v>536</v>
      </c>
      <c r="AE246" s="326">
        <f>AE244-Q244</f>
        <v>112.76399691000051</v>
      </c>
      <c r="AF246" s="338" t="s">
        <v>537</v>
      </c>
      <c r="AG246" s="390">
        <f>S246+AE246</f>
        <v>531.9223076400008</v>
      </c>
      <c r="AI246" s="39"/>
      <c r="AJ246" s="243"/>
      <c r="AK246" s="337" t="s">
        <v>536</v>
      </c>
      <c r="AL246" s="326">
        <f>AL244-Q244</f>
        <v>178.41770177759963</v>
      </c>
      <c r="AM246" s="338" t="s">
        <v>537</v>
      </c>
      <c r="AN246" s="390">
        <f>S246+AL246</f>
        <v>597.5760125075999</v>
      </c>
    </row>
    <row r="247" spans="2:40" ht="18">
      <c r="B247" s="39"/>
      <c r="C247" s="208"/>
      <c r="D247" s="20"/>
      <c r="E247" s="206"/>
      <c r="H247" s="39"/>
      <c r="I247" s="208"/>
      <c r="J247" s="325" t="s">
        <v>430</v>
      </c>
      <c r="K247" s="327">
        <f>K246/E244</f>
        <v>0.1750275862088732</v>
      </c>
      <c r="M247" s="13"/>
      <c r="N247" s="39"/>
      <c r="O247" s="208"/>
      <c r="P247" s="325" t="s">
        <v>430</v>
      </c>
      <c r="Q247" s="327">
        <f>Q246/E244</f>
        <v>0.055009502919760055</v>
      </c>
      <c r="R247" s="391" t="s">
        <v>538</v>
      </c>
      <c r="S247" s="339">
        <f>S246/E244</f>
        <v>0.23003708912863327</v>
      </c>
      <c r="U247" s="39"/>
      <c r="V247" s="208"/>
      <c r="W247" s="325" t="s">
        <v>430</v>
      </c>
      <c r="X247" s="327">
        <f>X246/Q244</f>
        <v>0.0257150491301601</v>
      </c>
      <c r="Y247" s="391" t="s">
        <v>538</v>
      </c>
      <c r="Z247" s="339">
        <f>Z246/E244</f>
        <v>0.2616675533074952</v>
      </c>
      <c r="AB247" s="39"/>
      <c r="AC247" s="208"/>
      <c r="AD247" s="325" t="s">
        <v>430</v>
      </c>
      <c r="AE247" s="327">
        <f>AE246/Q244</f>
        <v>0.05031205264596582</v>
      </c>
      <c r="AF247" s="391" t="s">
        <v>538</v>
      </c>
      <c r="AG247" s="339">
        <f>AG246/E244</f>
        <v>0.29192277991336363</v>
      </c>
      <c r="AI247" s="39"/>
      <c r="AJ247" s="208"/>
      <c r="AK247" s="325" t="s">
        <v>430</v>
      </c>
      <c r="AL247" s="327">
        <f>AL246/Q244</f>
        <v>0.07960484774206095</v>
      </c>
      <c r="AM247" s="391" t="s">
        <v>538</v>
      </c>
      <c r="AN247" s="339">
        <f>AN246/E244</f>
        <v>0.32795400432580596</v>
      </c>
    </row>
    <row r="248" spans="2:40" ht="15.75">
      <c r="B248" s="39"/>
      <c r="C248" s="208"/>
      <c r="D248" s="20"/>
      <c r="E248" s="206"/>
      <c r="H248" s="39"/>
      <c r="I248" s="208"/>
      <c r="J248" s="20"/>
      <c r="K248" s="206"/>
      <c r="M248" s="13"/>
      <c r="N248" s="39"/>
      <c r="O248" s="208"/>
      <c r="R248" s="21"/>
      <c r="S248" s="21"/>
      <c r="U248" s="39"/>
      <c r="V248" s="208"/>
      <c r="Y248" s="21"/>
      <c r="Z248" s="21"/>
      <c r="AB248" s="39"/>
      <c r="AC248" s="208"/>
      <c r="AF248" s="21"/>
      <c r="AG248" s="21"/>
      <c r="AI248" s="39"/>
      <c r="AJ248" s="208"/>
      <c r="AM248" s="21"/>
      <c r="AN248" s="21"/>
    </row>
    <row r="249" ht="12.75"/>
    <row r="250" spans="2:39" ht="15.75">
      <c r="B250" s="39"/>
      <c r="C250" s="208"/>
      <c r="D250" s="20"/>
      <c r="E250" s="6" t="s">
        <v>447</v>
      </c>
      <c r="F250" s="206"/>
      <c r="H250" s="39"/>
      <c r="I250" s="208"/>
      <c r="J250" s="20"/>
      <c r="K250" s="6" t="s">
        <v>447</v>
      </c>
      <c r="L250" s="206"/>
      <c r="N250" s="39"/>
      <c r="O250" s="208"/>
      <c r="P250" s="20"/>
      <c r="Q250" s="6" t="s">
        <v>447</v>
      </c>
      <c r="R250" s="206"/>
      <c r="U250" s="39"/>
      <c r="V250" s="208"/>
      <c r="W250" s="20"/>
      <c r="X250" s="6" t="s">
        <v>447</v>
      </c>
      <c r="Y250" s="206"/>
      <c r="AB250" s="39"/>
      <c r="AC250" s="208"/>
      <c r="AD250" s="20"/>
      <c r="AE250" s="6" t="s">
        <v>447</v>
      </c>
      <c r="AF250" s="206"/>
      <c r="AI250" s="39"/>
      <c r="AJ250" s="208"/>
      <c r="AK250" s="20"/>
      <c r="AL250" s="6" t="s">
        <v>447</v>
      </c>
      <c r="AM250" s="206"/>
    </row>
    <row r="251" spans="2:39" ht="16.5" thickBot="1">
      <c r="B251" s="243" t="s">
        <v>446</v>
      </c>
      <c r="E251" s="6">
        <v>502</v>
      </c>
      <c r="F251" s="246">
        <f>-(E227+E228+E233+E229+E230+F237+D252)*C238</f>
        <v>-418.5482406000001</v>
      </c>
      <c r="H251" s="243" t="s">
        <v>446</v>
      </c>
      <c r="K251" s="6">
        <v>502</v>
      </c>
      <c r="L251" s="246">
        <f>-(K227+K228+K233+K229+K230+L237+J252)*I238</f>
        <v>-513.7493291999999</v>
      </c>
      <c r="N251" s="243" t="s">
        <v>446</v>
      </c>
      <c r="Q251" s="6">
        <v>502</v>
      </c>
      <c r="R251" s="246">
        <f>-(Q227+Q228+Q233+Q229+Q230+R237+P252)*O238</f>
        <v>-543.6701244000001</v>
      </c>
      <c r="U251" s="243" t="s">
        <v>446</v>
      </c>
      <c r="X251" s="6">
        <v>502</v>
      </c>
      <c r="Y251" s="246">
        <f>-(X227+X228+X233+X229+X230+Y237+W252)*V238</f>
        <v>-560.87458164</v>
      </c>
      <c r="AB251" s="243" t="s">
        <v>446</v>
      </c>
      <c r="AE251" s="6">
        <v>502</v>
      </c>
      <c r="AF251" s="246">
        <f>-(AE227+AE228+AE233+AE229+AE230+AF237+AD252)*AC238</f>
        <v>-577.3310190000001</v>
      </c>
      <c r="AI251" s="243" t="s">
        <v>446</v>
      </c>
      <c r="AL251" s="6">
        <v>502</v>
      </c>
      <c r="AM251" s="246">
        <f>-(AL227+AL228+AL233+AL229+AL230+AM237+AK252)*AJ238</f>
        <v>-596.929139856</v>
      </c>
    </row>
    <row r="252" spans="2:39" ht="16.5" thickBot="1">
      <c r="B252" s="204" t="s">
        <v>444</v>
      </c>
      <c r="C252" s="129"/>
      <c r="D252" s="247">
        <f>(E227+E228+E229+E230+E233+E234)*0.5</f>
        <v>871.9755012500001</v>
      </c>
      <c r="E252" s="6">
        <v>504</v>
      </c>
      <c r="F252" s="246">
        <f>-(E227+E228+E233+E229+E230+F237+D252)*C239</f>
        <v>-15.695559022500003</v>
      </c>
      <c r="H252" s="204" t="s">
        <v>444</v>
      </c>
      <c r="I252" s="129"/>
      <c r="J252" s="247">
        <f>(K227+K228+K229+K230+K233+K234)*0.5</f>
        <v>1070.3111025</v>
      </c>
      <c r="K252" s="6">
        <v>504</v>
      </c>
      <c r="L252" s="246">
        <f>-(K227+K228+K233+K229+K230+L237+J252)*I239</f>
        <v>-19.265599844999997</v>
      </c>
      <c r="N252" s="204" t="s">
        <v>444</v>
      </c>
      <c r="O252" s="129"/>
      <c r="P252" s="247">
        <f>(Q227+Q228+Q229+Q230+Q233+Q234)*0.5</f>
        <v>1132.6460925000001</v>
      </c>
      <c r="Q252" s="6">
        <v>504</v>
      </c>
      <c r="R252" s="246">
        <f>-(Q227+Q228+Q233+Q229+Q230+R237+P252)*O239</f>
        <v>-20.387629665000002</v>
      </c>
      <c r="U252" s="204" t="s">
        <v>444</v>
      </c>
      <c r="V252" s="129"/>
      <c r="W252" s="247">
        <f>(X227+X228+X229+X230+X233+X234)*0.5</f>
        <v>1168.48871175</v>
      </c>
      <c r="X252" s="6">
        <v>504</v>
      </c>
      <c r="Y252" s="246">
        <f>-(X227+X228+X233+X229+X230+Y237+W252)*V239</f>
        <v>-21.0327968115</v>
      </c>
      <c r="AB252" s="204" t="s">
        <v>444</v>
      </c>
      <c r="AC252" s="129"/>
      <c r="AD252" s="247">
        <f>(AE227+AE228+AE229+AE230+AE233+AE234)*0.5</f>
        <v>1202.77295625</v>
      </c>
      <c r="AE252" s="6">
        <v>504</v>
      </c>
      <c r="AF252" s="246">
        <f>-(AE227+AE228+AE233+AE229+AE230+AF237+AD252)*AC239</f>
        <v>-21.649913212500003</v>
      </c>
      <c r="AI252" s="204" t="s">
        <v>444</v>
      </c>
      <c r="AJ252" s="129"/>
      <c r="AK252" s="247">
        <f>(AL227+AL228+AL229+AL230+AL233+AL234)*0.5</f>
        <v>1243.6023747</v>
      </c>
      <c r="AL252" s="6">
        <v>504</v>
      </c>
      <c r="AM252" s="246">
        <f>-(AL227+AL228+AL233+AL229+AL230+AM237+AK252)*AJ239</f>
        <v>-22.3848427446</v>
      </c>
    </row>
    <row r="253" spans="2:39" ht="16.5" thickBot="1">
      <c r="B253" s="204" t="s">
        <v>445</v>
      </c>
      <c r="C253" s="129"/>
      <c r="D253" s="306">
        <v>0</v>
      </c>
      <c r="E253" s="6">
        <v>505</v>
      </c>
      <c r="F253" s="246">
        <f>-(E227+E228+E233+E229+E230+F237+D252)*C240</f>
        <v>-78.4777951125</v>
      </c>
      <c r="H253" s="204" t="s">
        <v>445</v>
      </c>
      <c r="I253" s="129"/>
      <c r="J253" s="306">
        <v>0</v>
      </c>
      <c r="K253" s="6">
        <v>505</v>
      </c>
      <c r="L253" s="246">
        <f>-(K227+K228+K233+K229+K230+L237+J252)*I240</f>
        <v>-96.32799922499999</v>
      </c>
      <c r="N253" s="204" t="s">
        <v>445</v>
      </c>
      <c r="O253" s="129"/>
      <c r="P253" s="306">
        <v>0</v>
      </c>
      <c r="Q253" s="6">
        <v>505</v>
      </c>
      <c r="R253" s="246">
        <f>-(Q227+Q228+Q233+Q229+Q230+R237+P252)*O240</f>
        <v>-101.938148325</v>
      </c>
      <c r="U253" s="204" t="s">
        <v>445</v>
      </c>
      <c r="V253" s="129"/>
      <c r="W253" s="306">
        <v>0</v>
      </c>
      <c r="X253" s="6">
        <v>505</v>
      </c>
      <c r="Y253" s="246">
        <f>-(X227+X228+X233+X229+X230+Y237+W252)*V240</f>
        <v>-105.16398405749999</v>
      </c>
      <c r="AB253" s="204" t="s">
        <v>445</v>
      </c>
      <c r="AC253" s="129"/>
      <c r="AD253" s="306">
        <v>0</v>
      </c>
      <c r="AE253" s="6">
        <v>505</v>
      </c>
      <c r="AF253" s="246">
        <f>-(AE227+AE228+AE233+AE229+AE230+AF237+AD252)*AC240</f>
        <v>-108.24956606250001</v>
      </c>
      <c r="AI253" s="204" t="s">
        <v>445</v>
      </c>
      <c r="AJ253" s="129"/>
      <c r="AK253" s="306">
        <v>0</v>
      </c>
      <c r="AL253" s="6">
        <v>505</v>
      </c>
      <c r="AM253" s="246">
        <f>-(AL227+AL228+AL233+AL229+AL230+AM237+AK252)*AJ240</f>
        <v>-111.924213723</v>
      </c>
    </row>
    <row r="254" spans="2:39" ht="16.5" thickBot="1">
      <c r="B254" s="39"/>
      <c r="C254" s="208"/>
      <c r="D254" s="20"/>
      <c r="E254" s="206"/>
      <c r="F254" s="206"/>
      <c r="H254" s="39"/>
      <c r="I254" s="208"/>
      <c r="J254" s="20"/>
      <c r="K254" s="206"/>
      <c r="L254" s="206"/>
      <c r="N254" s="39"/>
      <c r="O254" s="208"/>
      <c r="P254" s="20"/>
      <c r="Q254" s="206"/>
      <c r="R254" s="206"/>
      <c r="U254" s="39"/>
      <c r="V254" s="208"/>
      <c r="W254" s="20"/>
      <c r="X254" s="206"/>
      <c r="Y254" s="206"/>
      <c r="AB254" s="39"/>
      <c r="AC254" s="208"/>
      <c r="AD254" s="20"/>
      <c r="AE254" s="206"/>
      <c r="AF254" s="206"/>
      <c r="AI254" s="39"/>
      <c r="AJ254" s="208"/>
      <c r="AK254" s="20"/>
      <c r="AL254" s="206"/>
      <c r="AM254" s="206"/>
    </row>
    <row r="255" spans="2:39" ht="16.5" thickBot="1">
      <c r="B255" s="39"/>
      <c r="C255" s="208"/>
      <c r="D255" s="250" t="s">
        <v>448</v>
      </c>
      <c r="E255" s="209"/>
      <c r="F255" s="245">
        <f>E236+D252+D253+F251+F252+F253</f>
        <v>2523.2019090149993</v>
      </c>
      <c r="H255" s="39"/>
      <c r="I255" s="208"/>
      <c r="J255" s="250" t="s">
        <v>448</v>
      </c>
      <c r="K255" s="209"/>
      <c r="L255" s="245">
        <f>K236+J252+J253+L251+L252+L253</f>
        <v>3001.58737923</v>
      </c>
      <c r="N255" s="39"/>
      <c r="O255" s="208"/>
      <c r="P255" s="250" t="s">
        <v>448</v>
      </c>
      <c r="Q255" s="209"/>
      <c r="R255" s="245">
        <f>Q236+P252+P253+R251+R252+R253</f>
        <v>3151.93937511</v>
      </c>
      <c r="U255" s="39"/>
      <c r="V255" s="208"/>
      <c r="W255" s="250" t="s">
        <v>448</v>
      </c>
      <c r="X255" s="209"/>
      <c r="Y255" s="245">
        <f>X236+W252+W253+Y251+Y252+Y253</f>
        <v>3238.3917727410003</v>
      </c>
      <c r="AB255" s="39"/>
      <c r="AC255" s="208"/>
      <c r="AD255" s="250" t="s">
        <v>448</v>
      </c>
      <c r="AE255" s="209"/>
      <c r="AF255" s="245">
        <f>AE236+AD252+AD253+AF251+AF252+AF253</f>
        <v>3321.0853704750007</v>
      </c>
      <c r="AI255" s="39"/>
      <c r="AJ255" s="208"/>
      <c r="AK255" s="250" t="s">
        <v>448</v>
      </c>
      <c r="AL255" s="209"/>
      <c r="AM255" s="245">
        <f>AL236+AK252+AK253+AM251+AM252+AM253</f>
        <v>3419.5659277763993</v>
      </c>
    </row>
    <row r="256" spans="2:39" ht="15.75">
      <c r="B256" s="39"/>
      <c r="C256" s="208"/>
      <c r="D256" s="250"/>
      <c r="E256" s="209"/>
      <c r="F256" s="206"/>
      <c r="H256" s="39"/>
      <c r="I256" s="208"/>
      <c r="J256" s="250"/>
      <c r="K256" s="209"/>
      <c r="L256" s="206"/>
      <c r="N256" s="39"/>
      <c r="O256" s="208"/>
      <c r="P256" s="250"/>
      <c r="Q256" s="209"/>
      <c r="R256" s="206"/>
      <c r="U256" s="39"/>
      <c r="V256" s="208"/>
      <c r="W256" s="250"/>
      <c r="X256" s="209"/>
      <c r="Y256" s="206"/>
      <c r="AB256" s="39"/>
      <c r="AC256" s="208"/>
      <c r="AD256" s="250"/>
      <c r="AE256" s="209"/>
      <c r="AF256" s="206"/>
      <c r="AI256" s="39"/>
      <c r="AJ256" s="208"/>
      <c r="AK256" s="250"/>
      <c r="AL256" s="209"/>
      <c r="AM256" s="206"/>
    </row>
    <row r="257" spans="3:40" ht="15.75">
      <c r="C257" s="20"/>
      <c r="D257" s="314" t="s">
        <v>457</v>
      </c>
      <c r="E257" s="315"/>
      <c r="F257" s="316">
        <f>F255-E244</f>
        <v>701.0683030049995</v>
      </c>
      <c r="I257" s="20"/>
      <c r="J257" s="314" t="s">
        <v>457</v>
      </c>
      <c r="K257" s="315"/>
      <c r="L257" s="316">
        <f>L255-K244</f>
        <v>860.5301264099999</v>
      </c>
      <c r="O257" s="20"/>
      <c r="P257" s="314" t="s">
        <v>457</v>
      </c>
      <c r="Q257" s="315"/>
      <c r="R257" s="316">
        <f>R255-Q244</f>
        <v>910.6474583700001</v>
      </c>
      <c r="S257" s="3" t="s">
        <v>539</v>
      </c>
      <c r="V257" s="20"/>
      <c r="W257" s="314" t="s">
        <v>457</v>
      </c>
      <c r="X257" s="315"/>
      <c r="Y257" s="316">
        <f>Y255-X244</f>
        <v>939.4649242470005</v>
      </c>
      <c r="Z257" s="3" t="s">
        <v>539</v>
      </c>
      <c r="AC257" s="20"/>
      <c r="AD257" s="314" t="s">
        <v>457</v>
      </c>
      <c r="AE257" s="315"/>
      <c r="AF257" s="316">
        <f>AF255-AE244</f>
        <v>967.0294568250001</v>
      </c>
      <c r="AG257" s="3" t="s">
        <v>539</v>
      </c>
      <c r="AJ257" s="20"/>
      <c r="AK257" s="314" t="s">
        <v>457</v>
      </c>
      <c r="AL257" s="315"/>
      <c r="AM257" s="316">
        <f>AM255-AL244</f>
        <v>999.8563092587997</v>
      </c>
      <c r="AN257" s="3" t="s">
        <v>539</v>
      </c>
    </row>
    <row r="258" spans="2:40" ht="15.75">
      <c r="B258" s="39"/>
      <c r="C258" s="208"/>
      <c r="D258" s="250"/>
      <c r="E258" s="209"/>
      <c r="F258" s="206"/>
      <c r="J258" s="34"/>
      <c r="K258" s="207"/>
      <c r="L258" s="178">
        <f>L257-F257</f>
        <v>159.46182340500036</v>
      </c>
      <c r="M258" s="13"/>
      <c r="R258" s="34">
        <f>R257-L257</f>
        <v>50.11733196000023</v>
      </c>
      <c r="S258" s="34">
        <f>R257-F257</f>
        <v>209.5791553650006</v>
      </c>
      <c r="Y258" s="34" t="e">
        <f>Y257-S257</f>
        <v>#VALUE!</v>
      </c>
      <c r="Z258" s="34">
        <f>Y257-M257</f>
        <v>939.4649242470005</v>
      </c>
      <c r="AF258" s="34" t="e">
        <f>AF257-Z257</f>
        <v>#VALUE!</v>
      </c>
      <c r="AG258" s="34">
        <f>AF257-T257</f>
        <v>967.0294568250001</v>
      </c>
      <c r="AM258" s="34" t="e">
        <f>AM257-AG257</f>
        <v>#VALUE!</v>
      </c>
      <c r="AN258" s="34">
        <f>AM257-AA257</f>
        <v>999.8563092587997</v>
      </c>
    </row>
    <row r="259" spans="8:13" s="429" customFormat="1" ht="22.5" customHeight="1">
      <c r="H259" s="437"/>
      <c r="J259" s="433"/>
      <c r="K259" s="432"/>
      <c r="L259" s="438"/>
      <c r="M259" s="432"/>
    </row>
    <row r="260" spans="8:13" ht="12.75">
      <c r="H260" s="211"/>
      <c r="I260" s="236"/>
      <c r="J260" s="13"/>
      <c r="K260" s="13"/>
      <c r="L260" s="13"/>
      <c r="M260" s="13"/>
    </row>
    <row r="261" spans="4:13" ht="23.25">
      <c r="D261" s="347" t="s">
        <v>16</v>
      </c>
      <c r="H261" s="211"/>
      <c r="I261" s="236"/>
      <c r="J261" s="13"/>
      <c r="K261" s="13"/>
      <c r="L261" s="13"/>
      <c r="M261" s="13"/>
    </row>
    <row r="262" spans="9:13" ht="13.5" thickBot="1">
      <c r="I262" s="236"/>
      <c r="J262" s="13"/>
      <c r="K262" s="13"/>
      <c r="L262" s="210"/>
      <c r="M262" s="13"/>
    </row>
    <row r="263" spans="3:13" ht="16.5" thickBot="1">
      <c r="C263" s="204" t="s">
        <v>10</v>
      </c>
      <c r="D263" s="82"/>
      <c r="E263" s="1">
        <v>30</v>
      </c>
      <c r="H263" s="211"/>
      <c r="J263" s="27"/>
      <c r="K263" s="13"/>
      <c r="L263" s="13"/>
      <c r="M263" s="13"/>
    </row>
    <row r="264" spans="3:13" ht="16.5" thickBot="1">
      <c r="C264" s="204" t="s">
        <v>431</v>
      </c>
      <c r="D264" s="82"/>
      <c r="E264" s="2">
        <v>20</v>
      </c>
      <c r="I264" s="211"/>
      <c r="J264" s="13"/>
      <c r="K264" s="13"/>
      <c r="L264" s="13"/>
      <c r="M264" s="13"/>
    </row>
    <row r="265" spans="5:24" ht="16.5" thickBot="1">
      <c r="E265" s="237">
        <f>LOOKUP(E264,I80:I91,J80:J91)</f>
        <v>1</v>
      </c>
      <c r="H265" s="307" t="s">
        <v>489</v>
      </c>
      <c r="I265" s="213"/>
      <c r="K265" s="13"/>
      <c r="L265" s="13"/>
      <c r="M265" s="13"/>
      <c r="X265" s="34"/>
    </row>
    <row r="266" spans="3:24" ht="18.75" thickBot="1">
      <c r="C266" s="349" t="s">
        <v>506</v>
      </c>
      <c r="D266" s="350"/>
      <c r="E266" s="351"/>
      <c r="H266" s="307"/>
      <c r="I266" s="213"/>
      <c r="K266" s="13"/>
      <c r="L266" s="13"/>
      <c r="M266" s="13"/>
      <c r="X266" s="34"/>
    </row>
    <row r="267" spans="3:24" ht="16.5" thickBot="1">
      <c r="C267" s="352" t="s">
        <v>507</v>
      </c>
      <c r="D267" s="353"/>
      <c r="E267" s="354">
        <v>15</v>
      </c>
      <c r="F267" s="358" t="s">
        <v>510</v>
      </c>
      <c r="H267" s="307"/>
      <c r="I267" s="213"/>
      <c r="K267" s="13"/>
      <c r="L267" s="13"/>
      <c r="M267" s="13"/>
      <c r="X267" s="34"/>
    </row>
    <row r="268" spans="3:24" ht="16.5" thickBot="1">
      <c r="C268" s="352" t="s">
        <v>508</v>
      </c>
      <c r="D268" s="353"/>
      <c r="E268" s="354">
        <v>24</v>
      </c>
      <c r="F268" s="358" t="s">
        <v>510</v>
      </c>
      <c r="H268" s="307"/>
      <c r="I268" s="213"/>
      <c r="K268" s="13"/>
      <c r="L268" s="13"/>
      <c r="M268" s="13"/>
      <c r="X268" s="34"/>
    </row>
    <row r="269" spans="3:24" ht="16.5" thickBot="1">
      <c r="C269" s="355" t="s">
        <v>509</v>
      </c>
      <c r="D269" s="356"/>
      <c r="E269" s="357">
        <v>24</v>
      </c>
      <c r="F269" s="358" t="s">
        <v>510</v>
      </c>
      <c r="H269" s="307"/>
      <c r="I269" s="213"/>
      <c r="K269" s="13"/>
      <c r="L269" s="13"/>
      <c r="M269" s="13"/>
      <c r="X269" s="34"/>
    </row>
    <row r="270" spans="8:24" ht="12.75">
      <c r="H270" s="308">
        <f>nuevocod38sup*E263</f>
        <v>75.3</v>
      </c>
      <c r="I270" s="91"/>
      <c r="K270" s="13"/>
      <c r="L270" s="13"/>
      <c r="M270" s="13"/>
      <c r="X270" s="34"/>
    </row>
    <row r="271" spans="3:24" ht="18.75" thickBot="1">
      <c r="C271" s="166" t="s">
        <v>5</v>
      </c>
      <c r="D271" s="214"/>
      <c r="E271" s="167">
        <f>E263*86.9</f>
        <v>2607</v>
      </c>
      <c r="F271" s="3" t="s">
        <v>11</v>
      </c>
      <c r="I271" s="91"/>
      <c r="J271" s="13"/>
      <c r="K271" s="13"/>
      <c r="L271" s="13"/>
      <c r="M271" s="13"/>
      <c r="X271" s="34"/>
    </row>
    <row r="272" spans="10:24" ht="12.75">
      <c r="J272" s="13"/>
      <c r="K272" s="13"/>
      <c r="L272" s="13"/>
      <c r="M272" s="13"/>
      <c r="X272" s="34"/>
    </row>
    <row r="273" spans="2:39" ht="18.75" thickBot="1">
      <c r="B273" s="13"/>
      <c r="C273" s="392">
        <v>39326</v>
      </c>
      <c r="D273" s="13"/>
      <c r="E273" s="13"/>
      <c r="F273" s="13"/>
      <c r="H273" s="13"/>
      <c r="I273" s="392">
        <v>39508</v>
      </c>
      <c r="J273" s="13"/>
      <c r="K273" s="13"/>
      <c r="L273" s="13"/>
      <c r="N273" s="13"/>
      <c r="O273" s="392">
        <v>39569</v>
      </c>
      <c r="P273" s="13"/>
      <c r="Q273" s="13"/>
      <c r="R273" s="13"/>
      <c r="U273" s="13"/>
      <c r="V273" s="392" t="s">
        <v>570</v>
      </c>
      <c r="W273" s="13"/>
      <c r="X273" s="13"/>
      <c r="Y273" s="13"/>
      <c r="AB273" s="13"/>
      <c r="AC273" s="392" t="s">
        <v>569</v>
      </c>
      <c r="AD273" s="13"/>
      <c r="AE273" s="13"/>
      <c r="AF273" s="13"/>
      <c r="AI273" s="13"/>
      <c r="AJ273" s="392" t="s">
        <v>568</v>
      </c>
      <c r="AK273" s="13"/>
      <c r="AL273" s="13"/>
      <c r="AM273" s="13"/>
    </row>
    <row r="274" spans="2:41" ht="13.5" thickBot="1">
      <c r="B274" s="185" t="s">
        <v>451</v>
      </c>
      <c r="C274" s="263" t="s">
        <v>450</v>
      </c>
      <c r="D274" s="263" t="s">
        <v>406</v>
      </c>
      <c r="E274" s="263" t="s">
        <v>407</v>
      </c>
      <c r="F274" s="264" t="s">
        <v>408</v>
      </c>
      <c r="H274" s="185" t="s">
        <v>451</v>
      </c>
      <c r="I274" s="263" t="s">
        <v>450</v>
      </c>
      <c r="J274" s="263" t="s">
        <v>406</v>
      </c>
      <c r="K274" s="263" t="s">
        <v>407</v>
      </c>
      <c r="L274" s="264" t="s">
        <v>408</v>
      </c>
      <c r="M274" s="27" t="s">
        <v>542</v>
      </c>
      <c r="N274" s="185" t="s">
        <v>451</v>
      </c>
      <c r="O274" s="263" t="s">
        <v>450</v>
      </c>
      <c r="P274" s="263" t="s">
        <v>406</v>
      </c>
      <c r="Q274" s="263" t="s">
        <v>407</v>
      </c>
      <c r="R274" s="264" t="s">
        <v>408</v>
      </c>
      <c r="S274" s="412" t="s">
        <v>563</v>
      </c>
      <c r="T274" s="413" t="s">
        <v>540</v>
      </c>
      <c r="U274" s="185" t="s">
        <v>451</v>
      </c>
      <c r="V274" s="263" t="s">
        <v>450</v>
      </c>
      <c r="W274" s="263" t="s">
        <v>406</v>
      </c>
      <c r="X274" s="263" t="s">
        <v>407</v>
      </c>
      <c r="Y274" s="264" t="s">
        <v>408</v>
      </c>
      <c r="Z274" s="412" t="s">
        <v>563</v>
      </c>
      <c r="AA274" s="413" t="s">
        <v>540</v>
      </c>
      <c r="AB274" s="185" t="s">
        <v>451</v>
      </c>
      <c r="AC274" s="263" t="s">
        <v>450</v>
      </c>
      <c r="AD274" s="263" t="s">
        <v>406</v>
      </c>
      <c r="AE274" s="263" t="s">
        <v>407</v>
      </c>
      <c r="AF274" s="264" t="s">
        <v>408</v>
      </c>
      <c r="AG274" s="412" t="s">
        <v>563</v>
      </c>
      <c r="AH274" s="413" t="s">
        <v>540</v>
      </c>
      <c r="AI274" s="185" t="s">
        <v>451</v>
      </c>
      <c r="AJ274" s="263" t="s">
        <v>450</v>
      </c>
      <c r="AK274" s="263" t="s">
        <v>406</v>
      </c>
      <c r="AL274" s="263" t="s">
        <v>407</v>
      </c>
      <c r="AM274" s="264" t="s">
        <v>408</v>
      </c>
      <c r="AN274" s="412" t="s">
        <v>563</v>
      </c>
      <c r="AO274" s="413" t="s">
        <v>540</v>
      </c>
    </row>
    <row r="275" spans="2:41" ht="12.75">
      <c r="B275" s="265" t="s">
        <v>417</v>
      </c>
      <c r="C275" s="187">
        <f>E263</f>
        <v>30</v>
      </c>
      <c r="D275" s="187" t="s">
        <v>418</v>
      </c>
      <c r="E275" s="266">
        <f>indiceoct07*E271</f>
        <v>1290.465</v>
      </c>
      <c r="F275" s="217"/>
      <c r="G275" s="335"/>
      <c r="H275" s="265" t="s">
        <v>417</v>
      </c>
      <c r="I275" s="187">
        <f>K263</f>
        <v>0</v>
      </c>
      <c r="J275" s="187" t="s">
        <v>418</v>
      </c>
      <c r="K275" s="266">
        <f>indicemar08*E271</f>
        <v>1538.1299999999999</v>
      </c>
      <c r="L275" s="217"/>
      <c r="M275" s="335">
        <f>K275-E275</f>
        <v>247.66499999999996</v>
      </c>
      <c r="N275" s="265" t="s">
        <v>417</v>
      </c>
      <c r="O275" s="187">
        <f>Q263</f>
        <v>0</v>
      </c>
      <c r="P275" s="187" t="s">
        <v>418</v>
      </c>
      <c r="Q275" s="266">
        <f>indicejul08*E271</f>
        <v>1642.41</v>
      </c>
      <c r="R275" s="217"/>
      <c r="S275" s="418">
        <f>Q275-K275</f>
        <v>104.2800000000002</v>
      </c>
      <c r="T275" s="415">
        <f>Q275-E275</f>
        <v>351.94500000000016</v>
      </c>
      <c r="U275" s="265" t="s">
        <v>417</v>
      </c>
      <c r="V275" s="187">
        <f>X263</f>
        <v>0</v>
      </c>
      <c r="W275" s="187" t="s">
        <v>418</v>
      </c>
      <c r="X275" s="266">
        <f>indiceago08*E271</f>
        <v>1702.371</v>
      </c>
      <c r="Y275" s="217"/>
      <c r="Z275" s="418">
        <f>X275-Q275</f>
        <v>59.96100000000001</v>
      </c>
      <c r="AA275" s="415">
        <f>X275-Q275</f>
        <v>59.96100000000001</v>
      </c>
      <c r="AB275" s="265" t="s">
        <v>417</v>
      </c>
      <c r="AC275" s="187">
        <f>AE263</f>
        <v>0</v>
      </c>
      <c r="AD275" s="187" t="s">
        <v>418</v>
      </c>
      <c r="AE275" s="266">
        <f>indiceoct08*E271</f>
        <v>1759.7250000000001</v>
      </c>
      <c r="AF275" s="217"/>
      <c r="AG275" s="421">
        <f>AE275-X275</f>
        <v>57.35400000000004</v>
      </c>
      <c r="AH275" s="422">
        <f>AE275-Q275</f>
        <v>117.31500000000005</v>
      </c>
      <c r="AI275" s="265" t="s">
        <v>417</v>
      </c>
      <c r="AJ275" s="187">
        <f>AL263</f>
        <v>0</v>
      </c>
      <c r="AK275" s="187" t="s">
        <v>418</v>
      </c>
      <c r="AL275" s="266">
        <f>indicedic08*E271</f>
        <v>1828.0284000000001</v>
      </c>
      <c r="AM275" s="217"/>
      <c r="AN275" s="421">
        <f>AL275-AE275</f>
        <v>68.30340000000001</v>
      </c>
      <c r="AO275" s="422">
        <f>AL275-Q275</f>
        <v>185.61840000000007</v>
      </c>
    </row>
    <row r="276" spans="2:41" ht="12.75">
      <c r="B276" s="215" t="s">
        <v>382</v>
      </c>
      <c r="C276" s="114">
        <f>E265</f>
        <v>1</v>
      </c>
      <c r="D276" s="94" t="s">
        <v>0</v>
      </c>
      <c r="E276" s="216">
        <f>E275*C276</f>
        <v>1290.465</v>
      </c>
      <c r="F276" s="217"/>
      <c r="G276" s="335"/>
      <c r="H276" s="215" t="s">
        <v>382</v>
      </c>
      <c r="I276" s="114">
        <f>E265</f>
        <v>1</v>
      </c>
      <c r="J276" s="94" t="s">
        <v>0</v>
      </c>
      <c r="K276" s="216">
        <f>K275*I276</f>
        <v>1538.1299999999999</v>
      </c>
      <c r="L276" s="217"/>
      <c r="M276" s="335">
        <f aca="true" t="shared" si="65" ref="M276:M283">K276-E276</f>
        <v>247.66499999999996</v>
      </c>
      <c r="N276" s="215" t="s">
        <v>382</v>
      </c>
      <c r="O276" s="114">
        <f>E265</f>
        <v>1</v>
      </c>
      <c r="P276" s="94" t="s">
        <v>0</v>
      </c>
      <c r="Q276" s="216">
        <f>Q275*O276</f>
        <v>1642.41</v>
      </c>
      <c r="R276" s="217"/>
      <c r="S276" s="418">
        <f aca="true" t="shared" si="66" ref="S276:S283">Q276-K276</f>
        <v>104.2800000000002</v>
      </c>
      <c r="T276" s="415">
        <f aca="true" t="shared" si="67" ref="T276:T283">Q276-E276</f>
        <v>351.94500000000016</v>
      </c>
      <c r="U276" s="215" t="s">
        <v>382</v>
      </c>
      <c r="V276" s="114">
        <f>E265</f>
        <v>1</v>
      </c>
      <c r="W276" s="94" t="s">
        <v>0</v>
      </c>
      <c r="X276" s="216">
        <f>X275*V276</f>
        <v>1702.371</v>
      </c>
      <c r="Y276" s="217"/>
      <c r="Z276" s="418">
        <f aca="true" t="shared" si="68" ref="Z276:Z283">X276-Q276</f>
        <v>59.96100000000001</v>
      </c>
      <c r="AA276" s="415">
        <f aca="true" t="shared" si="69" ref="AA276:AA283">X276-Q276</f>
        <v>59.96100000000001</v>
      </c>
      <c r="AB276" s="215" t="s">
        <v>382</v>
      </c>
      <c r="AC276" s="114">
        <f>E265</f>
        <v>1</v>
      </c>
      <c r="AD276" s="94" t="s">
        <v>0</v>
      </c>
      <c r="AE276" s="216">
        <f>AE275*AC276</f>
        <v>1759.7250000000001</v>
      </c>
      <c r="AF276" s="217"/>
      <c r="AG276" s="421">
        <f aca="true" t="shared" si="70" ref="AG276:AG283">AE276-X276</f>
        <v>57.35400000000004</v>
      </c>
      <c r="AH276" s="422">
        <f aca="true" t="shared" si="71" ref="AH276:AH283">AE276-Q276</f>
        <v>117.31500000000005</v>
      </c>
      <c r="AI276" s="215" t="s">
        <v>382</v>
      </c>
      <c r="AJ276" s="114">
        <f>E265</f>
        <v>1</v>
      </c>
      <c r="AK276" s="94" t="s">
        <v>0</v>
      </c>
      <c r="AL276" s="216">
        <f>AL275*AJ276</f>
        <v>1828.0284000000001</v>
      </c>
      <c r="AM276" s="217"/>
      <c r="AN276" s="421">
        <f aca="true" t="shared" si="72" ref="AN276:AN283">AL276-AE276</f>
        <v>68.30340000000001</v>
      </c>
      <c r="AO276" s="422">
        <f aca="true" t="shared" si="73" ref="AO276:AO283">AL276-Q276</f>
        <v>185.61840000000007</v>
      </c>
    </row>
    <row r="277" spans="2:41" ht="15.75">
      <c r="B277" s="215" t="s">
        <v>387</v>
      </c>
      <c r="C277" s="394">
        <f>E277/9.4</f>
        <v>15</v>
      </c>
      <c r="D277" s="174" t="s">
        <v>414</v>
      </c>
      <c r="E277" s="216">
        <f>IF(E267&gt;15,136.5,cod06supoct07*E267)</f>
        <v>141</v>
      </c>
      <c r="F277" s="217"/>
      <c r="G277" s="335"/>
      <c r="H277" s="215" t="s">
        <v>387</v>
      </c>
      <c r="I277" s="389">
        <f>K277/9.4</f>
        <v>15</v>
      </c>
      <c r="J277" s="174" t="s">
        <v>414</v>
      </c>
      <c r="K277" s="216">
        <f>IF(E267&gt;15,136.5,cod06supoct07*E267)</f>
        <v>141</v>
      </c>
      <c r="L277" s="217"/>
      <c r="M277" s="335">
        <f t="shared" si="65"/>
        <v>0</v>
      </c>
      <c r="N277" s="215" t="s">
        <v>387</v>
      </c>
      <c r="O277" s="389">
        <f>Q277/9.4</f>
        <v>15</v>
      </c>
      <c r="P277" s="174" t="s">
        <v>414</v>
      </c>
      <c r="Q277" s="216">
        <f>IF(E267&gt;15,136.5,cod06supoct07*E267)</f>
        <v>141</v>
      </c>
      <c r="R277" s="217"/>
      <c r="S277" s="418">
        <f t="shared" si="66"/>
        <v>0</v>
      </c>
      <c r="T277" s="415">
        <f t="shared" si="67"/>
        <v>0</v>
      </c>
      <c r="U277" s="215" t="s">
        <v>387</v>
      </c>
      <c r="V277" s="389">
        <f>X277/9.4</f>
        <v>15</v>
      </c>
      <c r="W277" s="174" t="s">
        <v>414</v>
      </c>
      <c r="X277" s="216">
        <f>IF(E267&gt;15,136.5,cod06supoct07*E267)</f>
        <v>141</v>
      </c>
      <c r="Y277" s="217"/>
      <c r="Z277" s="418">
        <f t="shared" si="68"/>
        <v>0</v>
      </c>
      <c r="AA277" s="415">
        <f t="shared" si="69"/>
        <v>0</v>
      </c>
      <c r="AB277" s="215" t="s">
        <v>387</v>
      </c>
      <c r="AC277" s="389">
        <f>AE277/9.4</f>
        <v>15</v>
      </c>
      <c r="AD277" s="174" t="s">
        <v>414</v>
      </c>
      <c r="AE277" s="216">
        <f>IF(E267&gt;15,136.5,cod06supoct07*E267)</f>
        <v>141</v>
      </c>
      <c r="AF277" s="217"/>
      <c r="AG277" s="421">
        <f t="shared" si="70"/>
        <v>0</v>
      </c>
      <c r="AH277" s="422">
        <f t="shared" si="71"/>
        <v>0</v>
      </c>
      <c r="AI277" s="215" t="s">
        <v>387</v>
      </c>
      <c r="AJ277" s="389">
        <f>AL277/9.4</f>
        <v>15</v>
      </c>
      <c r="AK277" s="174" t="s">
        <v>414</v>
      </c>
      <c r="AL277" s="216">
        <f>IF(E267&gt;15,136.5,cod06supoct07*E267)</f>
        <v>141</v>
      </c>
      <c r="AM277" s="217"/>
      <c r="AN277" s="421">
        <f t="shared" si="72"/>
        <v>0</v>
      </c>
      <c r="AO277" s="422">
        <f t="shared" si="73"/>
        <v>0</v>
      </c>
    </row>
    <row r="278" spans="2:41" ht="12.75">
      <c r="B278" s="218" t="s">
        <v>388</v>
      </c>
      <c r="C278" s="114">
        <v>0.07</v>
      </c>
      <c r="D278" s="174" t="s">
        <v>419</v>
      </c>
      <c r="E278" s="216">
        <f>E277*0.07</f>
        <v>9.870000000000001</v>
      </c>
      <c r="F278" s="217"/>
      <c r="G278" s="335"/>
      <c r="H278" s="218" t="s">
        <v>388</v>
      </c>
      <c r="I278" s="114">
        <v>0.07</v>
      </c>
      <c r="J278" s="174" t="s">
        <v>419</v>
      </c>
      <c r="K278" s="216">
        <f>K277*0.07</f>
        <v>9.870000000000001</v>
      </c>
      <c r="L278" s="217"/>
      <c r="M278" s="335">
        <f t="shared" si="65"/>
        <v>0</v>
      </c>
      <c r="N278" s="218" t="s">
        <v>388</v>
      </c>
      <c r="O278" s="114">
        <v>0.07</v>
      </c>
      <c r="P278" s="174" t="s">
        <v>419</v>
      </c>
      <c r="Q278" s="216">
        <f>Q277*0.07</f>
        <v>9.870000000000001</v>
      </c>
      <c r="R278" s="217"/>
      <c r="S278" s="418">
        <f t="shared" si="66"/>
        <v>0</v>
      </c>
      <c r="T278" s="415">
        <f t="shared" si="67"/>
        <v>0</v>
      </c>
      <c r="U278" s="218" t="s">
        <v>388</v>
      </c>
      <c r="V278" s="114">
        <v>0.07</v>
      </c>
      <c r="W278" s="174" t="s">
        <v>419</v>
      </c>
      <c r="X278" s="216">
        <f>X277*0.07</f>
        <v>9.870000000000001</v>
      </c>
      <c r="Y278" s="217"/>
      <c r="Z278" s="418">
        <f t="shared" si="68"/>
        <v>0</v>
      </c>
      <c r="AA278" s="415">
        <f t="shared" si="69"/>
        <v>0</v>
      </c>
      <c r="AB278" s="218" t="s">
        <v>388</v>
      </c>
      <c r="AC278" s="114">
        <v>0.07</v>
      </c>
      <c r="AD278" s="174" t="s">
        <v>419</v>
      </c>
      <c r="AE278" s="216">
        <f>AE277*0.07</f>
        <v>9.870000000000001</v>
      </c>
      <c r="AF278" s="217"/>
      <c r="AG278" s="421">
        <f t="shared" si="70"/>
        <v>0</v>
      </c>
      <c r="AH278" s="422">
        <f t="shared" si="71"/>
        <v>0</v>
      </c>
      <c r="AI278" s="218" t="s">
        <v>388</v>
      </c>
      <c r="AJ278" s="114">
        <v>0.07</v>
      </c>
      <c r="AK278" s="174" t="s">
        <v>419</v>
      </c>
      <c r="AL278" s="216">
        <f>AL277*0.07</f>
        <v>9.870000000000001</v>
      </c>
      <c r="AM278" s="217"/>
      <c r="AN278" s="421">
        <f t="shared" si="72"/>
        <v>0</v>
      </c>
      <c r="AO278" s="422">
        <f t="shared" si="73"/>
        <v>0</v>
      </c>
    </row>
    <row r="279" spans="2:41" ht="15.75">
      <c r="B279" s="219" t="s">
        <v>389</v>
      </c>
      <c r="C279" s="394">
        <f>E279/9.16666</f>
        <v>24</v>
      </c>
      <c r="D279" s="94" t="s">
        <v>401</v>
      </c>
      <c r="E279" s="216">
        <f>IF(E268*9.16666&gt;220,220,E268*9.16666)</f>
        <v>219.99984</v>
      </c>
      <c r="F279" s="217"/>
      <c r="G279" s="335"/>
      <c r="H279" s="219" t="s">
        <v>389</v>
      </c>
      <c r="I279" s="389">
        <f>K279/9.16666</f>
        <v>24</v>
      </c>
      <c r="J279" s="94" t="s">
        <v>401</v>
      </c>
      <c r="K279" s="216">
        <f>IF(E268*9.16666&gt;220,220,E268*9.16666)</f>
        <v>219.99984</v>
      </c>
      <c r="L279" s="217"/>
      <c r="M279" s="335">
        <f t="shared" si="65"/>
        <v>0</v>
      </c>
      <c r="N279" s="219" t="s">
        <v>389</v>
      </c>
      <c r="O279" s="389">
        <f>Q279/9.16666</f>
        <v>24</v>
      </c>
      <c r="P279" s="94" t="s">
        <v>401</v>
      </c>
      <c r="Q279" s="216">
        <f>IF(E268*9.16666&gt;220,220,E268*9.16666)</f>
        <v>219.99984</v>
      </c>
      <c r="R279" s="217"/>
      <c r="S279" s="418">
        <f t="shared" si="66"/>
        <v>0</v>
      </c>
      <c r="T279" s="415">
        <f t="shared" si="67"/>
        <v>0</v>
      </c>
      <c r="U279" s="219" t="s">
        <v>389</v>
      </c>
      <c r="V279" s="389">
        <f>X279/9.16666</f>
        <v>24</v>
      </c>
      <c r="W279" s="94" t="s">
        <v>401</v>
      </c>
      <c r="X279" s="216">
        <f>IF(E268*9.16666&gt;220,220,E268*9.16666)</f>
        <v>219.99984</v>
      </c>
      <c r="Y279" s="217"/>
      <c r="Z279" s="418">
        <f t="shared" si="68"/>
        <v>0</v>
      </c>
      <c r="AA279" s="415">
        <f t="shared" si="69"/>
        <v>0</v>
      </c>
      <c r="AB279" s="219" t="s">
        <v>389</v>
      </c>
      <c r="AC279" s="389">
        <f>AE279/9.16666</f>
        <v>24</v>
      </c>
      <c r="AD279" s="94" t="s">
        <v>401</v>
      </c>
      <c r="AE279" s="216">
        <f>IF(E268*9.16666&gt;220,220,E268*9.16666)</f>
        <v>219.99984</v>
      </c>
      <c r="AF279" s="217"/>
      <c r="AG279" s="421">
        <f t="shared" si="70"/>
        <v>0</v>
      </c>
      <c r="AH279" s="422">
        <f t="shared" si="71"/>
        <v>0</v>
      </c>
      <c r="AI279" s="219" t="s">
        <v>389</v>
      </c>
      <c r="AJ279" s="389">
        <f>AL279/9.16666</f>
        <v>24</v>
      </c>
      <c r="AK279" s="94" t="s">
        <v>401</v>
      </c>
      <c r="AL279" s="216">
        <f>IF(E268*9.16666&gt;220,220,E268*9.16666)</f>
        <v>219.99984</v>
      </c>
      <c r="AM279" s="217"/>
      <c r="AN279" s="421">
        <f t="shared" si="72"/>
        <v>0</v>
      </c>
      <c r="AO279" s="422">
        <f t="shared" si="73"/>
        <v>0</v>
      </c>
    </row>
    <row r="280" spans="2:41" ht="15.75">
      <c r="B280" s="215" t="s">
        <v>390</v>
      </c>
      <c r="C280" s="394">
        <f>E280/8.3333</f>
        <v>24</v>
      </c>
      <c r="D280" s="94" t="s">
        <v>420</v>
      </c>
      <c r="E280" s="216">
        <f>IF(E269*8.3333&gt;200,200,E269*8.3333)</f>
        <v>199.99919999999997</v>
      </c>
      <c r="F280" s="220"/>
      <c r="G280" s="335"/>
      <c r="H280" s="215" t="s">
        <v>390</v>
      </c>
      <c r="I280" s="389">
        <f>K280/8.3333</f>
        <v>24</v>
      </c>
      <c r="J280" s="94" t="s">
        <v>420</v>
      </c>
      <c r="K280" s="216">
        <f>IF(E269*8.3333&gt;200,200,E269*8.3333)</f>
        <v>199.99919999999997</v>
      </c>
      <c r="L280" s="220"/>
      <c r="M280" s="335">
        <f t="shared" si="65"/>
        <v>0</v>
      </c>
      <c r="N280" s="215" t="s">
        <v>390</v>
      </c>
      <c r="O280" s="389">
        <f>Q280/8.3333</f>
        <v>24</v>
      </c>
      <c r="P280" s="94" t="s">
        <v>420</v>
      </c>
      <c r="Q280" s="216">
        <f>IF(E269*8.3333&gt;200,200,E269*8.3333)</f>
        <v>199.99919999999997</v>
      </c>
      <c r="R280" s="220"/>
      <c r="S280" s="418">
        <f t="shared" si="66"/>
        <v>0</v>
      </c>
      <c r="T280" s="415">
        <f t="shared" si="67"/>
        <v>0</v>
      </c>
      <c r="U280" s="215" t="s">
        <v>390</v>
      </c>
      <c r="V280" s="389">
        <f>X280/8.3333</f>
        <v>24</v>
      </c>
      <c r="W280" s="94" t="s">
        <v>420</v>
      </c>
      <c r="X280" s="216">
        <f>IF(E269*8.3333&gt;200,200,E269*8.3333)</f>
        <v>199.99919999999997</v>
      </c>
      <c r="Y280" s="220"/>
      <c r="Z280" s="418">
        <f t="shared" si="68"/>
        <v>0</v>
      </c>
      <c r="AA280" s="415">
        <f t="shared" si="69"/>
        <v>0</v>
      </c>
      <c r="AB280" s="215" t="s">
        <v>390</v>
      </c>
      <c r="AC280" s="389">
        <f>AE280/8.3333</f>
        <v>24</v>
      </c>
      <c r="AD280" s="94" t="s">
        <v>420</v>
      </c>
      <c r="AE280" s="216">
        <f>IF(E269*8.3333&gt;200,200,E269*8.3333)</f>
        <v>199.99919999999997</v>
      </c>
      <c r="AF280" s="220"/>
      <c r="AG280" s="421">
        <f t="shared" si="70"/>
        <v>0</v>
      </c>
      <c r="AH280" s="422">
        <f t="shared" si="71"/>
        <v>0</v>
      </c>
      <c r="AI280" s="215" t="s">
        <v>390</v>
      </c>
      <c r="AJ280" s="389">
        <f>AL280/8.3333</f>
        <v>24</v>
      </c>
      <c r="AK280" s="94" t="s">
        <v>420</v>
      </c>
      <c r="AL280" s="216">
        <f>IF(E269*8.3333&gt;200,200,E269*8.3333)</f>
        <v>199.99919999999997</v>
      </c>
      <c r="AM280" s="220"/>
      <c r="AN280" s="421">
        <f t="shared" si="72"/>
        <v>0</v>
      </c>
      <c r="AO280" s="422">
        <f t="shared" si="73"/>
        <v>0</v>
      </c>
    </row>
    <row r="281" spans="2:41" ht="12.75">
      <c r="B281" s="215" t="s">
        <v>385</v>
      </c>
      <c r="C281" s="114">
        <v>0.07</v>
      </c>
      <c r="D281" s="114" t="s">
        <v>416</v>
      </c>
      <c r="E281" s="216">
        <f>(E275+E276)*C281</f>
        <v>180.6651</v>
      </c>
      <c r="F281" s="217"/>
      <c r="G281" s="335"/>
      <c r="H281" s="215" t="s">
        <v>385</v>
      </c>
      <c r="I281" s="114">
        <v>0.07</v>
      </c>
      <c r="J281" s="114" t="s">
        <v>416</v>
      </c>
      <c r="K281" s="216">
        <f>(K275+K276)*I281</f>
        <v>215.3382</v>
      </c>
      <c r="L281" s="217"/>
      <c r="M281" s="335">
        <f t="shared" si="65"/>
        <v>34.673100000000005</v>
      </c>
      <c r="N281" s="215" t="s">
        <v>385</v>
      </c>
      <c r="O281" s="114">
        <v>0.07</v>
      </c>
      <c r="P281" s="114" t="s">
        <v>416</v>
      </c>
      <c r="Q281" s="216">
        <f>(Q275+Q276)*O281</f>
        <v>229.93740000000003</v>
      </c>
      <c r="R281" s="217"/>
      <c r="S281" s="418">
        <f t="shared" si="66"/>
        <v>14.599200000000025</v>
      </c>
      <c r="T281" s="415">
        <f t="shared" si="67"/>
        <v>49.27230000000003</v>
      </c>
      <c r="U281" s="215" t="s">
        <v>385</v>
      </c>
      <c r="V281" s="114">
        <v>0.07</v>
      </c>
      <c r="W281" s="114" t="s">
        <v>416</v>
      </c>
      <c r="X281" s="216">
        <f>(X275+X276)*V281</f>
        <v>238.33194000000003</v>
      </c>
      <c r="Y281" s="217"/>
      <c r="Z281" s="418">
        <f t="shared" si="68"/>
        <v>8.394540000000006</v>
      </c>
      <c r="AA281" s="415">
        <f t="shared" si="69"/>
        <v>8.394540000000006</v>
      </c>
      <c r="AB281" s="215" t="s">
        <v>385</v>
      </c>
      <c r="AC281" s="114">
        <v>0.07</v>
      </c>
      <c r="AD281" s="114" t="s">
        <v>416</v>
      </c>
      <c r="AE281" s="216">
        <f>(AE275+AE276)*AC281</f>
        <v>246.36150000000004</v>
      </c>
      <c r="AF281" s="217"/>
      <c r="AG281" s="421">
        <f t="shared" si="70"/>
        <v>8.029560000000004</v>
      </c>
      <c r="AH281" s="422">
        <f t="shared" si="71"/>
        <v>16.42410000000001</v>
      </c>
      <c r="AI281" s="215" t="s">
        <v>385</v>
      </c>
      <c r="AJ281" s="114">
        <v>0.07</v>
      </c>
      <c r="AK281" s="114" t="s">
        <v>416</v>
      </c>
      <c r="AL281" s="216">
        <f>(AL275+AL276)*AJ281</f>
        <v>255.92397600000004</v>
      </c>
      <c r="AM281" s="217"/>
      <c r="AN281" s="421">
        <f t="shared" si="72"/>
        <v>9.562476000000004</v>
      </c>
      <c r="AO281" s="422">
        <f t="shared" si="73"/>
        <v>25.986576000000014</v>
      </c>
    </row>
    <row r="282" spans="2:41" ht="16.5" thickBot="1">
      <c r="B282" s="222" t="s">
        <v>426</v>
      </c>
      <c r="C282" s="131"/>
      <c r="D282" s="131"/>
      <c r="E282" s="309">
        <v>0</v>
      </c>
      <c r="F282" s="217"/>
      <c r="G282" s="335"/>
      <c r="H282" s="222" t="s">
        <v>426</v>
      </c>
      <c r="I282" s="131"/>
      <c r="J282" s="131"/>
      <c r="K282" s="330">
        <f>E282</f>
        <v>0</v>
      </c>
      <c r="L282" s="217"/>
      <c r="M282" s="335">
        <f t="shared" si="65"/>
        <v>0</v>
      </c>
      <c r="N282" s="222" t="s">
        <v>426</v>
      </c>
      <c r="O282" s="131"/>
      <c r="P282" s="131"/>
      <c r="Q282" s="330">
        <f>K282</f>
        <v>0</v>
      </c>
      <c r="R282" s="217"/>
      <c r="S282" s="418">
        <f t="shared" si="66"/>
        <v>0</v>
      </c>
      <c r="T282" s="415">
        <f t="shared" si="67"/>
        <v>0</v>
      </c>
      <c r="U282" s="222" t="s">
        <v>426</v>
      </c>
      <c r="V282" s="131"/>
      <c r="W282" s="131"/>
      <c r="X282" s="330">
        <f>R282</f>
        <v>0</v>
      </c>
      <c r="Y282" s="217"/>
      <c r="Z282" s="418">
        <f t="shared" si="68"/>
        <v>0</v>
      </c>
      <c r="AA282" s="415">
        <f t="shared" si="69"/>
        <v>0</v>
      </c>
      <c r="AB282" s="222" t="s">
        <v>426</v>
      </c>
      <c r="AC282" s="131"/>
      <c r="AD282" s="131"/>
      <c r="AE282" s="330">
        <f>Y282</f>
        <v>0</v>
      </c>
      <c r="AF282" s="217"/>
      <c r="AG282" s="421">
        <f t="shared" si="70"/>
        <v>0</v>
      </c>
      <c r="AH282" s="422">
        <f t="shared" si="71"/>
        <v>0</v>
      </c>
      <c r="AI282" s="222" t="s">
        <v>426</v>
      </c>
      <c r="AJ282" s="131"/>
      <c r="AK282" s="131"/>
      <c r="AL282" s="330">
        <f>AF282</f>
        <v>0</v>
      </c>
      <c r="AM282" s="217"/>
      <c r="AN282" s="421">
        <f t="shared" si="72"/>
        <v>0</v>
      </c>
      <c r="AO282" s="422">
        <f t="shared" si="73"/>
        <v>0</v>
      </c>
    </row>
    <row r="283" spans="2:41" ht="16.5" thickBot="1">
      <c r="B283" s="223"/>
      <c r="C283" s="204" t="s">
        <v>12</v>
      </c>
      <c r="D283" s="238"/>
      <c r="E283" s="190">
        <f>SUM(E275:E282)</f>
        <v>3332.46414</v>
      </c>
      <c r="F283" s="225"/>
      <c r="G283" s="335"/>
      <c r="H283" s="223"/>
      <c r="I283" s="204" t="s">
        <v>12</v>
      </c>
      <c r="J283" s="238"/>
      <c r="K283" s="190">
        <f>SUM(K275:K282)</f>
        <v>3862.46724</v>
      </c>
      <c r="L283" s="225"/>
      <c r="M283" s="335">
        <f t="shared" si="65"/>
        <v>530.0030999999999</v>
      </c>
      <c r="N283" s="223"/>
      <c r="O283" s="204" t="s">
        <v>12</v>
      </c>
      <c r="P283" s="238"/>
      <c r="Q283" s="190">
        <f>SUM(Q275:Q282)</f>
        <v>4085.62644</v>
      </c>
      <c r="R283" s="225"/>
      <c r="S283" s="418">
        <f t="shared" si="66"/>
        <v>223.15920000000006</v>
      </c>
      <c r="T283" s="415">
        <f t="shared" si="67"/>
        <v>753.1623</v>
      </c>
      <c r="U283" s="223"/>
      <c r="V283" s="204" t="s">
        <v>12</v>
      </c>
      <c r="W283" s="238"/>
      <c r="X283" s="190">
        <f>SUM(X275:X282)</f>
        <v>4213.94298</v>
      </c>
      <c r="Y283" s="225"/>
      <c r="Z283" s="418">
        <f t="shared" si="68"/>
        <v>128.3165399999998</v>
      </c>
      <c r="AA283" s="415">
        <f t="shared" si="69"/>
        <v>128.3165399999998</v>
      </c>
      <c r="AB283" s="223"/>
      <c r="AC283" s="204" t="s">
        <v>12</v>
      </c>
      <c r="AD283" s="238"/>
      <c r="AE283" s="190">
        <f>SUM(AE275:AE282)</f>
        <v>4336.68054</v>
      </c>
      <c r="AF283" s="225"/>
      <c r="AG283" s="421">
        <f t="shared" si="70"/>
        <v>122.73756000000049</v>
      </c>
      <c r="AH283" s="422">
        <f t="shared" si="71"/>
        <v>251.0541000000003</v>
      </c>
      <c r="AI283" s="223"/>
      <c r="AJ283" s="204" t="s">
        <v>12</v>
      </c>
      <c r="AK283" s="238"/>
      <c r="AL283" s="190">
        <f>SUM(AL275:AL282)</f>
        <v>4482.849816</v>
      </c>
      <c r="AM283" s="225"/>
      <c r="AN283" s="421">
        <f t="shared" si="72"/>
        <v>146.16927599999963</v>
      </c>
      <c r="AO283" s="422">
        <f t="shared" si="73"/>
        <v>397.2233759999999</v>
      </c>
    </row>
    <row r="284" spans="2:41" ht="15.75">
      <c r="B284" s="221" t="s">
        <v>421</v>
      </c>
      <c r="C284" s="226"/>
      <c r="D284" s="193" t="s">
        <v>422</v>
      </c>
      <c r="E284" s="240">
        <v>0</v>
      </c>
      <c r="F284" s="199">
        <f>-E284</f>
        <v>0</v>
      </c>
      <c r="G284" s="34"/>
      <c r="H284" s="221" t="s">
        <v>421</v>
      </c>
      <c r="I284" s="226"/>
      <c r="J284" s="193" t="s">
        <v>422</v>
      </c>
      <c r="K284" s="324">
        <f>E284</f>
        <v>0</v>
      </c>
      <c r="L284" s="199">
        <f>-K284</f>
        <v>0</v>
      </c>
      <c r="M284" s="403">
        <f aca="true" t="shared" si="74" ref="M284:M289">L284-F284</f>
        <v>0</v>
      </c>
      <c r="N284" s="221" t="s">
        <v>421</v>
      </c>
      <c r="O284" s="226"/>
      <c r="P284" s="193" t="s">
        <v>422</v>
      </c>
      <c r="Q284" s="324">
        <f>K284</f>
        <v>0</v>
      </c>
      <c r="R284" s="199">
        <f>-Q284</f>
        <v>0</v>
      </c>
      <c r="S284" s="419">
        <f aca="true" t="shared" si="75" ref="S284:S289">R284-L284</f>
        <v>0</v>
      </c>
      <c r="T284" s="417">
        <f aca="true" t="shared" si="76" ref="T284:T289">R284-F284</f>
        <v>0</v>
      </c>
      <c r="U284" s="221" t="s">
        <v>421</v>
      </c>
      <c r="V284" s="226"/>
      <c r="W284" s="193" t="s">
        <v>422</v>
      </c>
      <c r="X284" s="324">
        <f>R284</f>
        <v>0</v>
      </c>
      <c r="Y284" s="199">
        <f>-X284</f>
        <v>0</v>
      </c>
      <c r="Z284" s="419">
        <f aca="true" t="shared" si="77" ref="Z284:Z289">Y284-R284</f>
        <v>0</v>
      </c>
      <c r="AA284" s="417">
        <f aca="true" t="shared" si="78" ref="AA284:AA289">Y284-R284</f>
        <v>0</v>
      </c>
      <c r="AB284" s="221" t="s">
        <v>421</v>
      </c>
      <c r="AC284" s="226"/>
      <c r="AD284" s="193" t="s">
        <v>422</v>
      </c>
      <c r="AE284" s="324">
        <f>Y284</f>
        <v>0</v>
      </c>
      <c r="AF284" s="199">
        <f>-AE284</f>
        <v>0</v>
      </c>
      <c r="AG284" s="423">
        <f aca="true" t="shared" si="79" ref="AG284:AG289">AF284-Y284</f>
        <v>0</v>
      </c>
      <c r="AH284" s="424">
        <f aca="true" t="shared" si="80" ref="AH284:AH289">AF284-R284</f>
        <v>0</v>
      </c>
      <c r="AI284" s="221" t="s">
        <v>421</v>
      </c>
      <c r="AJ284" s="226"/>
      <c r="AK284" s="193" t="s">
        <v>422</v>
      </c>
      <c r="AL284" s="324">
        <f>AF284</f>
        <v>0</v>
      </c>
      <c r="AM284" s="199">
        <f>-AL284</f>
        <v>0</v>
      </c>
      <c r="AN284" s="423">
        <f aca="true" t="shared" si="81" ref="AN284:AN289">AM284-AF284</f>
        <v>0</v>
      </c>
      <c r="AO284" s="424">
        <f aca="true" t="shared" si="82" ref="AO284:AO289">AM284-R284</f>
        <v>0</v>
      </c>
    </row>
    <row r="285" spans="2:41" ht="12.75">
      <c r="B285" s="94">
        <v>502</v>
      </c>
      <c r="C285" s="227">
        <v>0.16</v>
      </c>
      <c r="D285" s="196" t="s">
        <v>425</v>
      </c>
      <c r="E285" s="332"/>
      <c r="F285" s="228">
        <f>-(E275+E276+E281+E277+E278+F284)*C285</f>
        <v>-465.994416</v>
      </c>
      <c r="G285" s="34"/>
      <c r="H285" s="94">
        <v>502</v>
      </c>
      <c r="I285" s="227">
        <v>0.16</v>
      </c>
      <c r="J285" s="196" t="s">
        <v>425</v>
      </c>
      <c r="K285" s="332"/>
      <c r="L285" s="228">
        <f>-(K275+K276+K281+K277+K278+L284)*I285</f>
        <v>-550.794912</v>
      </c>
      <c r="M285" s="34">
        <f t="shared" si="74"/>
        <v>-84.80049599999995</v>
      </c>
      <c r="N285" s="94">
        <v>502</v>
      </c>
      <c r="O285" s="227">
        <v>0.16</v>
      </c>
      <c r="P285" s="196" t="s">
        <v>425</v>
      </c>
      <c r="Q285" s="332"/>
      <c r="R285" s="228">
        <f>-(Q275+Q276+Q281+Q277+Q278+R284)*O285</f>
        <v>-586.500384</v>
      </c>
      <c r="S285" s="420">
        <f t="shared" si="75"/>
        <v>-35.7054720000001</v>
      </c>
      <c r="T285" s="417">
        <f t="shared" si="76"/>
        <v>-120.50596800000005</v>
      </c>
      <c r="U285" s="94">
        <v>502</v>
      </c>
      <c r="V285" s="227">
        <v>0.16</v>
      </c>
      <c r="W285" s="196" t="s">
        <v>425</v>
      </c>
      <c r="X285" s="332"/>
      <c r="Y285" s="228">
        <f>-(X275+X276+X281+X277+X278+Y284)*V285</f>
        <v>-607.0310304000001</v>
      </c>
      <c r="Z285" s="419">
        <f t="shared" si="77"/>
        <v>-20.530646400000023</v>
      </c>
      <c r="AA285" s="417">
        <f t="shared" si="78"/>
        <v>-20.530646400000023</v>
      </c>
      <c r="AB285" s="94">
        <v>502</v>
      </c>
      <c r="AC285" s="227">
        <v>0.16</v>
      </c>
      <c r="AD285" s="196" t="s">
        <v>425</v>
      </c>
      <c r="AE285" s="332"/>
      <c r="AF285" s="228">
        <f>-(AE275+AE276+AE281+AE277+AE278+AF284)*AC285</f>
        <v>-626.66904</v>
      </c>
      <c r="AG285" s="423">
        <f t="shared" si="79"/>
        <v>-19.63800959999992</v>
      </c>
      <c r="AH285" s="424">
        <f t="shared" si="80"/>
        <v>-40.16865599999994</v>
      </c>
      <c r="AI285" s="94">
        <v>502</v>
      </c>
      <c r="AJ285" s="227">
        <v>0.16</v>
      </c>
      <c r="AK285" s="196" t="s">
        <v>425</v>
      </c>
      <c r="AL285" s="332"/>
      <c r="AM285" s="228">
        <f>-(AL275+AL276+AL281+AL277+AL278+AM284)*AJ285</f>
        <v>-650.0561241600001</v>
      </c>
      <c r="AN285" s="423">
        <f t="shared" si="81"/>
        <v>-23.387084160000086</v>
      </c>
      <c r="AO285" s="424">
        <f t="shared" si="82"/>
        <v>-63.55574016000003</v>
      </c>
    </row>
    <row r="286" spans="2:41" ht="12.75">
      <c r="B286" s="94">
        <v>504</v>
      </c>
      <c r="C286" s="195">
        <v>0.006</v>
      </c>
      <c r="D286" s="172" t="s">
        <v>424</v>
      </c>
      <c r="E286" s="172"/>
      <c r="F286" s="228">
        <f>-(E275+E276+E281+E277+E278+F284)*C286</f>
        <v>-17.4747906</v>
      </c>
      <c r="G286" s="34"/>
      <c r="H286" s="94">
        <v>504</v>
      </c>
      <c r="I286" s="195">
        <v>0.006</v>
      </c>
      <c r="J286" s="172" t="s">
        <v>424</v>
      </c>
      <c r="K286" s="172"/>
      <c r="L286" s="228">
        <f>-(K275+K276+K281+K277+K278+L284)*I286</f>
        <v>-20.6548092</v>
      </c>
      <c r="M286" s="34">
        <f t="shared" si="74"/>
        <v>-3.1800186000000004</v>
      </c>
      <c r="N286" s="94">
        <v>504</v>
      </c>
      <c r="O286" s="195">
        <v>0.006</v>
      </c>
      <c r="P286" s="172" t="s">
        <v>424</v>
      </c>
      <c r="Q286" s="172"/>
      <c r="R286" s="228">
        <f>-(Q275+Q276+Q281+Q277+Q278+R284)*O286</f>
        <v>-21.993764400000003</v>
      </c>
      <c r="S286" s="420">
        <f t="shared" si="75"/>
        <v>-1.3389552000000045</v>
      </c>
      <c r="T286" s="417">
        <f t="shared" si="76"/>
        <v>-4.518973800000005</v>
      </c>
      <c r="U286" s="94">
        <v>504</v>
      </c>
      <c r="V286" s="195">
        <v>0.006</v>
      </c>
      <c r="W286" s="172" t="s">
        <v>424</v>
      </c>
      <c r="X286" s="172"/>
      <c r="Y286" s="228">
        <f>-(X275+X276+X281+X277+X278+Y284)*V286</f>
        <v>-22.76366364</v>
      </c>
      <c r="Z286" s="419">
        <f t="shared" si="77"/>
        <v>-0.7698992399999973</v>
      </c>
      <c r="AA286" s="417">
        <f t="shared" si="78"/>
        <v>-0.7698992399999973</v>
      </c>
      <c r="AB286" s="94">
        <v>504</v>
      </c>
      <c r="AC286" s="195">
        <v>0.006</v>
      </c>
      <c r="AD286" s="172" t="s">
        <v>424</v>
      </c>
      <c r="AE286" s="172"/>
      <c r="AF286" s="228">
        <f>-(AE275+AE276+AE281+AE277+AE278+AF284)*AC286</f>
        <v>-23.500089000000003</v>
      </c>
      <c r="AG286" s="423">
        <f t="shared" si="79"/>
        <v>-0.7364253600000019</v>
      </c>
      <c r="AH286" s="424">
        <f t="shared" si="80"/>
        <v>-1.5063245999999992</v>
      </c>
      <c r="AI286" s="94">
        <v>504</v>
      </c>
      <c r="AJ286" s="195">
        <v>0.006</v>
      </c>
      <c r="AK286" s="172" t="s">
        <v>424</v>
      </c>
      <c r="AL286" s="172"/>
      <c r="AM286" s="228">
        <f>-(AL275+AL276+AL281+AL277+AL278+AM284)*AJ286</f>
        <v>-24.377104656</v>
      </c>
      <c r="AN286" s="423">
        <f t="shared" si="81"/>
        <v>-0.8770156559999975</v>
      </c>
      <c r="AO286" s="424">
        <f t="shared" si="82"/>
        <v>-2.3833402559999968</v>
      </c>
    </row>
    <row r="287" spans="2:41" ht="12.75">
      <c r="B287" s="94">
        <v>505</v>
      </c>
      <c r="C287" s="114">
        <v>0.03</v>
      </c>
      <c r="D287" s="196" t="s">
        <v>423</v>
      </c>
      <c r="E287" s="196"/>
      <c r="F287" s="228">
        <f>-(E275+E276+E281+E277+E278+F284)*C287</f>
        <v>-87.373953</v>
      </c>
      <c r="G287" s="34"/>
      <c r="H287" s="94">
        <v>505</v>
      </c>
      <c r="I287" s="114">
        <v>0.03</v>
      </c>
      <c r="J287" s="196" t="s">
        <v>423</v>
      </c>
      <c r="K287" s="196"/>
      <c r="L287" s="228">
        <f>-(K275+K276+K281+K277+K278+L284)*I287</f>
        <v>-103.27404599999998</v>
      </c>
      <c r="M287" s="34">
        <f t="shared" si="74"/>
        <v>-15.900092999999984</v>
      </c>
      <c r="N287" s="94">
        <v>505</v>
      </c>
      <c r="O287" s="114">
        <v>0.03</v>
      </c>
      <c r="P287" s="196" t="s">
        <v>423</v>
      </c>
      <c r="Q287" s="196"/>
      <c r="R287" s="228">
        <f>-(Q275+Q276+Q281+Q277+Q278+R284)*O287</f>
        <v>-109.968822</v>
      </c>
      <c r="S287" s="420">
        <f t="shared" si="75"/>
        <v>-6.694776000000019</v>
      </c>
      <c r="T287" s="417">
        <f t="shared" si="76"/>
        <v>-22.594869000000003</v>
      </c>
      <c r="U287" s="94">
        <v>505</v>
      </c>
      <c r="V287" s="114">
        <v>0.03</v>
      </c>
      <c r="W287" s="196" t="s">
        <v>423</v>
      </c>
      <c r="X287" s="196"/>
      <c r="Y287" s="228">
        <f>-(X275+X276+X281+X277+X278+Y284)*V287</f>
        <v>-113.8183182</v>
      </c>
      <c r="Z287" s="419">
        <f t="shared" si="77"/>
        <v>-3.84949619999999</v>
      </c>
      <c r="AA287" s="417">
        <f t="shared" si="78"/>
        <v>-3.84949619999999</v>
      </c>
      <c r="AB287" s="94">
        <v>505</v>
      </c>
      <c r="AC287" s="114">
        <v>0.03</v>
      </c>
      <c r="AD287" s="196" t="s">
        <v>423</v>
      </c>
      <c r="AE287" s="196"/>
      <c r="AF287" s="228">
        <f>-(AE275+AE276+AE281+AE277+AE278+AF284)*AC287</f>
        <v>-117.500445</v>
      </c>
      <c r="AG287" s="423">
        <f t="shared" si="79"/>
        <v>-3.682126800000006</v>
      </c>
      <c r="AH287" s="424">
        <f t="shared" si="80"/>
        <v>-7.531622999999996</v>
      </c>
      <c r="AI287" s="94">
        <v>505</v>
      </c>
      <c r="AJ287" s="114">
        <v>0.03</v>
      </c>
      <c r="AK287" s="196" t="s">
        <v>423</v>
      </c>
      <c r="AL287" s="196"/>
      <c r="AM287" s="228">
        <f>-(AL275+AL276+AL281+AL277+AL278+AM284)*AJ287</f>
        <v>-121.88552328</v>
      </c>
      <c r="AN287" s="423">
        <f t="shared" si="81"/>
        <v>-4.385078280000002</v>
      </c>
      <c r="AO287" s="424">
        <f t="shared" si="82"/>
        <v>-11.916701279999998</v>
      </c>
    </row>
    <row r="288" spans="2:41" ht="16.5" thickBot="1">
      <c r="B288" s="229" t="s">
        <v>2</v>
      </c>
      <c r="C288" s="310">
        <v>0</v>
      </c>
      <c r="D288" s="131"/>
      <c r="E288" s="131"/>
      <c r="F288" s="230">
        <f>-(E276+E275+E281+E277+E278+F284)*C288</f>
        <v>0</v>
      </c>
      <c r="G288" s="34"/>
      <c r="H288" s="229" t="s">
        <v>2</v>
      </c>
      <c r="I288" s="331">
        <f>C288</f>
        <v>0</v>
      </c>
      <c r="J288" s="131"/>
      <c r="K288" s="131"/>
      <c r="L288" s="230">
        <f>-(K276+K275+K281+K277+K278+L284)*I288</f>
        <v>0</v>
      </c>
      <c r="M288" s="34">
        <f t="shared" si="74"/>
        <v>0</v>
      </c>
      <c r="N288" s="229" t="s">
        <v>2</v>
      </c>
      <c r="O288" s="331">
        <f>I288</f>
        <v>0</v>
      </c>
      <c r="P288" s="131"/>
      <c r="Q288" s="131"/>
      <c r="R288" s="230">
        <f>-(Q276+Q275+Q281+Q277+Q278+R284)*O288</f>
        <v>0</v>
      </c>
      <c r="S288" s="420">
        <f t="shared" si="75"/>
        <v>0</v>
      </c>
      <c r="T288" s="417">
        <f t="shared" si="76"/>
        <v>0</v>
      </c>
      <c r="U288" s="229" t="s">
        <v>2</v>
      </c>
      <c r="V288" s="331">
        <f>P288</f>
        <v>0</v>
      </c>
      <c r="W288" s="131"/>
      <c r="X288" s="131"/>
      <c r="Y288" s="230">
        <f>-(X276+X275+X281+X277+X278+Y284)*V288</f>
        <v>0</v>
      </c>
      <c r="Z288" s="419">
        <f t="shared" si="77"/>
        <v>0</v>
      </c>
      <c r="AA288" s="417">
        <f t="shared" si="78"/>
        <v>0</v>
      </c>
      <c r="AB288" s="229" t="s">
        <v>2</v>
      </c>
      <c r="AC288" s="331">
        <f>W288</f>
        <v>0</v>
      </c>
      <c r="AD288" s="131"/>
      <c r="AE288" s="131"/>
      <c r="AF288" s="230">
        <f>-(AE276+AE275+AE281+AE277+AE278+AF284)*AC288</f>
        <v>0</v>
      </c>
      <c r="AG288" s="423">
        <f t="shared" si="79"/>
        <v>0</v>
      </c>
      <c r="AH288" s="424">
        <f t="shared" si="80"/>
        <v>0</v>
      </c>
      <c r="AI288" s="229" t="s">
        <v>2</v>
      </c>
      <c r="AJ288" s="331">
        <f>AD288</f>
        <v>0</v>
      </c>
      <c r="AK288" s="131"/>
      <c r="AL288" s="131"/>
      <c r="AM288" s="230">
        <f>-(AL276+AL275+AL281+AL277+AL278+AM284)*AJ288</f>
        <v>0</v>
      </c>
      <c r="AN288" s="423">
        <f t="shared" si="81"/>
        <v>0</v>
      </c>
      <c r="AO288" s="424">
        <f t="shared" si="82"/>
        <v>0</v>
      </c>
    </row>
    <row r="289" spans="2:41" ht="16.5" thickBot="1">
      <c r="B289" s="161"/>
      <c r="C289" s="231"/>
      <c r="D289" s="204" t="s">
        <v>3</v>
      </c>
      <c r="E289" s="232"/>
      <c r="F289" s="233">
        <f>SUM(F285:F288)</f>
        <v>-570.8431596</v>
      </c>
      <c r="G289" s="34"/>
      <c r="H289" s="161"/>
      <c r="I289" s="231"/>
      <c r="J289" s="204" t="s">
        <v>3</v>
      </c>
      <c r="K289" s="232"/>
      <c r="L289" s="233">
        <f>SUM(L285:L288)</f>
        <v>-674.7237672</v>
      </c>
      <c r="M289" s="34">
        <f t="shared" si="74"/>
        <v>-103.88060759999996</v>
      </c>
      <c r="N289" s="161"/>
      <c r="O289" s="231"/>
      <c r="P289" s="204" t="s">
        <v>3</v>
      </c>
      <c r="Q289" s="232"/>
      <c r="R289" s="233">
        <f>SUM(R285:R288)</f>
        <v>-718.4629704000001</v>
      </c>
      <c r="S289" s="420">
        <f t="shared" si="75"/>
        <v>-43.739203200000134</v>
      </c>
      <c r="T289" s="417">
        <f t="shared" si="76"/>
        <v>-147.6198108000001</v>
      </c>
      <c r="U289" s="161"/>
      <c r="V289" s="231"/>
      <c r="W289" s="204" t="s">
        <v>3</v>
      </c>
      <c r="X289" s="232"/>
      <c r="Y289" s="233">
        <f>SUM(Y285:Y288)</f>
        <v>-743.6130122400001</v>
      </c>
      <c r="Z289" s="419">
        <f t="shared" si="77"/>
        <v>-25.15004183999997</v>
      </c>
      <c r="AA289" s="417">
        <f t="shared" si="78"/>
        <v>-25.15004183999997</v>
      </c>
      <c r="AB289" s="161"/>
      <c r="AC289" s="231"/>
      <c r="AD289" s="204" t="s">
        <v>3</v>
      </c>
      <c r="AE289" s="232"/>
      <c r="AF289" s="233">
        <f>SUM(AF285:AF288)</f>
        <v>-767.669574</v>
      </c>
      <c r="AG289" s="423">
        <f t="shared" si="79"/>
        <v>-24.05656175999991</v>
      </c>
      <c r="AH289" s="424">
        <f t="shared" si="80"/>
        <v>-49.20660359999988</v>
      </c>
      <c r="AI289" s="161"/>
      <c r="AJ289" s="231"/>
      <c r="AK289" s="204" t="s">
        <v>3</v>
      </c>
      <c r="AL289" s="232"/>
      <c r="AM289" s="233">
        <f>SUM(AM285:AM288)</f>
        <v>-796.3187520960001</v>
      </c>
      <c r="AN289" s="423">
        <f t="shared" si="81"/>
        <v>-28.649178096000128</v>
      </c>
      <c r="AO289" s="424">
        <f t="shared" si="82"/>
        <v>-77.85578169600001</v>
      </c>
    </row>
    <row r="290" spans="1:38" ht="13.5" thickBot="1">
      <c r="A290" s="19"/>
      <c r="B290" s="313"/>
      <c r="C290" s="131"/>
      <c r="D290" s="217"/>
      <c r="E290" s="217"/>
      <c r="G290" s="34"/>
      <c r="H290" s="313"/>
      <c r="I290" s="131"/>
      <c r="J290" s="217"/>
      <c r="K290" s="217"/>
      <c r="M290" s="34"/>
      <c r="N290" s="313"/>
      <c r="O290" s="131"/>
      <c r="P290" s="217"/>
      <c r="Q290" s="217"/>
      <c r="U290" s="313"/>
      <c r="V290" s="131"/>
      <c r="W290" s="217"/>
      <c r="X290" s="217"/>
      <c r="AB290" s="313"/>
      <c r="AC290" s="131"/>
      <c r="AD290" s="217"/>
      <c r="AE290" s="217"/>
      <c r="AI290" s="313"/>
      <c r="AJ290" s="131"/>
      <c r="AK290" s="217"/>
      <c r="AL290" s="217"/>
    </row>
    <row r="291" spans="2:39" ht="16.5" thickBot="1">
      <c r="B291" s="39"/>
      <c r="C291" s="204" t="s">
        <v>4</v>
      </c>
      <c r="D291" s="205"/>
      <c r="E291" s="234">
        <f>E283+F289</f>
        <v>2761.6209804</v>
      </c>
      <c r="F291" s="6"/>
      <c r="G291" s="34"/>
      <c r="H291" s="39"/>
      <c r="I291" s="204" t="s">
        <v>4</v>
      </c>
      <c r="J291" s="205"/>
      <c r="K291" s="234">
        <f>K283+L289</f>
        <v>3187.7434728</v>
      </c>
      <c r="L291" s="6"/>
      <c r="N291" s="39"/>
      <c r="O291" s="204" t="s">
        <v>4</v>
      </c>
      <c r="P291" s="205"/>
      <c r="Q291" s="234">
        <f>Q283+R289</f>
        <v>3367.1634696</v>
      </c>
      <c r="R291" s="6"/>
      <c r="U291" s="39"/>
      <c r="V291" s="204" t="s">
        <v>4</v>
      </c>
      <c r="W291" s="205"/>
      <c r="X291" s="234">
        <f>X283+Y289</f>
        <v>3470.32996776</v>
      </c>
      <c r="Y291" s="6"/>
      <c r="AB291" s="39"/>
      <c r="AC291" s="204" t="s">
        <v>4</v>
      </c>
      <c r="AD291" s="205"/>
      <c r="AE291" s="234">
        <f>AE283+AF289</f>
        <v>3569.0109660000003</v>
      </c>
      <c r="AF291" s="6"/>
      <c r="AI291" s="39"/>
      <c r="AJ291" s="204" t="s">
        <v>4</v>
      </c>
      <c r="AK291" s="205"/>
      <c r="AL291" s="234">
        <f>AL283+AM289</f>
        <v>3686.531063904</v>
      </c>
      <c r="AM291" s="6"/>
    </row>
    <row r="292" spans="2:39" ht="15.75">
      <c r="B292" s="39"/>
      <c r="C292" s="243"/>
      <c r="D292" s="243"/>
      <c r="E292" s="276"/>
      <c r="F292" s="6"/>
      <c r="H292" s="39"/>
      <c r="I292" s="243"/>
      <c r="J292" s="243"/>
      <c r="K292" s="276"/>
      <c r="L292" s="6"/>
      <c r="N292" s="39"/>
      <c r="O292" s="243"/>
      <c r="P292" s="243"/>
      <c r="Q292" s="276" t="s">
        <v>560</v>
      </c>
      <c r="R292" s="6"/>
      <c r="U292" s="39"/>
      <c r="V292" s="243"/>
      <c r="W292" s="243"/>
      <c r="X292" s="276"/>
      <c r="Y292" s="6"/>
      <c r="AB292" s="39"/>
      <c r="AC292" s="243"/>
      <c r="AD292" s="243"/>
      <c r="AE292" s="276"/>
      <c r="AF292" s="6"/>
      <c r="AI292" s="39"/>
      <c r="AJ292" s="243"/>
      <c r="AK292" s="243"/>
      <c r="AL292" s="276"/>
      <c r="AM292" s="6"/>
    </row>
    <row r="293" spans="2:40" ht="18">
      <c r="B293" s="39"/>
      <c r="C293" s="243"/>
      <c r="D293" s="395"/>
      <c r="E293" s="396"/>
      <c r="F293" s="397"/>
      <c r="G293" s="398"/>
      <c r="H293" s="39"/>
      <c r="I293" s="243"/>
      <c r="J293" s="325" t="s">
        <v>535</v>
      </c>
      <c r="K293" s="326">
        <f>K291-E291</f>
        <v>426.1224923999998</v>
      </c>
      <c r="L293" s="6"/>
      <c r="N293" s="39"/>
      <c r="O293" s="243"/>
      <c r="P293" s="337" t="s">
        <v>536</v>
      </c>
      <c r="Q293" s="326">
        <f>Q291-K291</f>
        <v>179.41999680000026</v>
      </c>
      <c r="R293" s="338" t="s">
        <v>537</v>
      </c>
      <c r="S293" s="390">
        <f>K293+Q293</f>
        <v>605.5424892000001</v>
      </c>
      <c r="U293" s="39"/>
      <c r="V293" s="243"/>
      <c r="W293" s="337" t="s">
        <v>536</v>
      </c>
      <c r="X293" s="326">
        <f>X291-Q291</f>
        <v>103.16649815999972</v>
      </c>
      <c r="Y293" s="338" t="s">
        <v>537</v>
      </c>
      <c r="Z293" s="390">
        <f>S293+X293</f>
        <v>708.7089873599998</v>
      </c>
      <c r="AB293" s="39"/>
      <c r="AC293" s="243"/>
      <c r="AD293" s="337" t="s">
        <v>536</v>
      </c>
      <c r="AE293" s="326">
        <f>AE291-Q291</f>
        <v>201.84749640000018</v>
      </c>
      <c r="AF293" s="338" t="s">
        <v>537</v>
      </c>
      <c r="AG293" s="390">
        <f>S293+AE293</f>
        <v>807.3899856000003</v>
      </c>
      <c r="AI293" s="39"/>
      <c r="AJ293" s="243"/>
      <c r="AK293" s="337" t="s">
        <v>536</v>
      </c>
      <c r="AL293" s="326">
        <f>AL291-Q291</f>
        <v>319.3675943039998</v>
      </c>
      <c r="AM293" s="338" t="s">
        <v>537</v>
      </c>
      <c r="AN293" s="390">
        <f>S293+AL293</f>
        <v>924.9100835039999</v>
      </c>
    </row>
    <row r="294" spans="2:40" ht="18">
      <c r="B294" s="39"/>
      <c r="C294" s="208"/>
      <c r="D294" s="398"/>
      <c r="E294" s="399"/>
      <c r="F294" s="398"/>
      <c r="G294" s="399"/>
      <c r="H294" s="39"/>
      <c r="I294" s="208"/>
      <c r="J294" s="325" t="s">
        <v>430</v>
      </c>
      <c r="K294" s="327">
        <f>K293/E291</f>
        <v>0.15430158425950224</v>
      </c>
      <c r="M294" s="13"/>
      <c r="N294" s="39"/>
      <c r="O294" s="208"/>
      <c r="P294" s="325" t="s">
        <v>430</v>
      </c>
      <c r="Q294" s="327">
        <f>Q293/E291</f>
        <v>0.06496908810926423</v>
      </c>
      <c r="R294" s="391" t="s">
        <v>538</v>
      </c>
      <c r="S294" s="339">
        <f>S293/E291</f>
        <v>0.2192706723687665</v>
      </c>
      <c r="U294" s="39"/>
      <c r="V294" s="208"/>
      <c r="W294" s="325" t="s">
        <v>430</v>
      </c>
      <c r="X294" s="327">
        <f>X293/Q291</f>
        <v>0.030638993054963058</v>
      </c>
      <c r="Y294" s="391" t="s">
        <v>538</v>
      </c>
      <c r="Z294" s="339">
        <f>Z293/E291</f>
        <v>0.25662789803159325</v>
      </c>
      <c r="AB294" s="39"/>
      <c r="AC294" s="208"/>
      <c r="AD294" s="325" t="s">
        <v>430</v>
      </c>
      <c r="AE294" s="327">
        <f>AE293/Q291</f>
        <v>0.05994585597710186</v>
      </c>
      <c r="AF294" s="391" t="s">
        <v>538</v>
      </c>
      <c r="AG294" s="339">
        <f>AG293/E291</f>
        <v>0.2923608964916887</v>
      </c>
      <c r="AI294" s="39"/>
      <c r="AJ294" s="208"/>
      <c r="AK294" s="325" t="s">
        <v>430</v>
      </c>
      <c r="AL294" s="327">
        <f>AL293/Q291</f>
        <v>0.09484766545710323</v>
      </c>
      <c r="AM294" s="391" t="s">
        <v>538</v>
      </c>
      <c r="AN294" s="339">
        <f>AN293/E291</f>
        <v>0.33491564920325656</v>
      </c>
    </row>
    <row r="295" spans="2:39" ht="12.75">
      <c r="B295" s="39"/>
      <c r="C295" s="208"/>
      <c r="F295" s="21"/>
      <c r="G295" s="21"/>
      <c r="H295" s="39"/>
      <c r="I295" s="208"/>
      <c r="L295" s="21"/>
      <c r="N295" s="39"/>
      <c r="O295" s="208"/>
      <c r="R295" s="21"/>
      <c r="U295" s="39"/>
      <c r="V295" s="208"/>
      <c r="Y295" s="21"/>
      <c r="AB295" s="39"/>
      <c r="AC295" s="208"/>
      <c r="AF295" s="21"/>
      <c r="AI295" s="39"/>
      <c r="AJ295" s="208"/>
      <c r="AM295" s="21"/>
    </row>
    <row r="296" spans="2:38" ht="15.75">
      <c r="B296" s="39"/>
      <c r="C296" s="208"/>
      <c r="D296" s="20"/>
      <c r="E296" s="206"/>
      <c r="H296" s="39"/>
      <c r="I296" s="208"/>
      <c r="J296" s="20"/>
      <c r="K296" s="206"/>
      <c r="N296" s="39"/>
      <c r="O296" s="208"/>
      <c r="P296" s="20"/>
      <c r="Q296" s="206"/>
      <c r="U296" s="39"/>
      <c r="V296" s="208"/>
      <c r="W296" s="20"/>
      <c r="X296" s="206"/>
      <c r="AB296" s="39"/>
      <c r="AC296" s="208"/>
      <c r="AD296" s="20"/>
      <c r="AE296" s="206"/>
      <c r="AI296" s="39"/>
      <c r="AJ296" s="208"/>
      <c r="AK296" s="20"/>
      <c r="AL296" s="206"/>
    </row>
    <row r="297" spans="2:39" ht="15.75">
      <c r="B297" s="39"/>
      <c r="C297" s="208"/>
      <c r="D297" s="20"/>
      <c r="E297" s="6" t="s">
        <v>447</v>
      </c>
      <c r="F297" s="206"/>
      <c r="H297" s="39"/>
      <c r="I297" s="208"/>
      <c r="J297" s="20"/>
      <c r="K297" s="6" t="s">
        <v>447</v>
      </c>
      <c r="L297" s="206"/>
      <c r="N297" s="39"/>
      <c r="O297" s="208"/>
      <c r="P297" s="20"/>
      <c r="Q297" s="6" t="s">
        <v>447</v>
      </c>
      <c r="R297" s="206"/>
      <c r="U297" s="39"/>
      <c r="V297" s="208"/>
      <c r="W297" s="20"/>
      <c r="X297" s="6" t="s">
        <v>447</v>
      </c>
      <c r="Y297" s="206"/>
      <c r="AB297" s="39"/>
      <c r="AC297" s="208"/>
      <c r="AD297" s="20"/>
      <c r="AE297" s="6" t="s">
        <v>447</v>
      </c>
      <c r="AF297" s="206"/>
      <c r="AI297" s="39"/>
      <c r="AJ297" s="208"/>
      <c r="AK297" s="20"/>
      <c r="AL297" s="6" t="s">
        <v>447</v>
      </c>
      <c r="AM297" s="206"/>
    </row>
    <row r="298" spans="2:39" ht="16.5" thickBot="1">
      <c r="B298" s="243" t="s">
        <v>446</v>
      </c>
      <c r="E298" s="6">
        <v>502</v>
      </c>
      <c r="F298" s="246">
        <f>-(E275+E276+E281+E277+E278+F284+D299)*C285</f>
        <v>-698.991624</v>
      </c>
      <c r="H298" s="243" t="s">
        <v>446</v>
      </c>
      <c r="K298" s="6">
        <v>502</v>
      </c>
      <c r="L298" s="246">
        <f>-(K275+K276+K281+K277+K278+L284+J299)*I285</f>
        <v>-826.192368</v>
      </c>
      <c r="N298" s="243" t="s">
        <v>446</v>
      </c>
      <c r="Q298" s="6">
        <v>502</v>
      </c>
      <c r="R298" s="246">
        <f>-(Q275+Q276+Q281+Q277+Q278+R284+P299)*O285</f>
        <v>-879.750576</v>
      </c>
      <c r="U298" s="243" t="s">
        <v>446</v>
      </c>
      <c r="X298" s="6">
        <v>502</v>
      </c>
      <c r="Y298" s="246">
        <f>-(X275+X276+X281+X277+X278+Y284+W299)*V285</f>
        <v>-910.5465456</v>
      </c>
      <c r="AB298" s="243" t="s">
        <v>446</v>
      </c>
      <c r="AE298" s="6">
        <v>502</v>
      </c>
      <c r="AF298" s="246">
        <f>-(AE275+AE276+AE281+AE277+AE278+AF284+AD299)*AC285</f>
        <v>-940.00356</v>
      </c>
      <c r="AI298" s="243" t="s">
        <v>446</v>
      </c>
      <c r="AL298" s="6">
        <v>502</v>
      </c>
      <c r="AM298" s="246">
        <f>-(AL275+AL276+AL281+AL277+AL278+AM284+AK299)*AJ285</f>
        <v>-975.0841862400001</v>
      </c>
    </row>
    <row r="299" spans="1:39" ht="16.5" thickBot="1">
      <c r="A299" s="19"/>
      <c r="B299" s="204" t="s">
        <v>444</v>
      </c>
      <c r="C299" s="129"/>
      <c r="D299" s="247">
        <f>(E275+E276+E277+E278+E281)*0.5</f>
        <v>1456.23255</v>
      </c>
      <c r="E299" s="6">
        <v>504</v>
      </c>
      <c r="F299" s="246">
        <f>-(E275+E276+E281+E277+E278+F284+D299)*C286</f>
        <v>-26.2121859</v>
      </c>
      <c r="H299" s="204" t="s">
        <v>444</v>
      </c>
      <c r="I299" s="129"/>
      <c r="J299" s="247">
        <f>(K275+K276+K277+K278+K281)*0.5</f>
        <v>1721.2341</v>
      </c>
      <c r="K299" s="6">
        <v>504</v>
      </c>
      <c r="L299" s="246">
        <f>-(K275+K276+K281+K277+K278+L284+J299)*I286</f>
        <v>-30.9822138</v>
      </c>
      <c r="N299" s="204" t="s">
        <v>444</v>
      </c>
      <c r="O299" s="129"/>
      <c r="P299" s="247">
        <f>(Q275+Q276+Q277+Q278+Q281)*0.5</f>
        <v>1832.8137000000002</v>
      </c>
      <c r="Q299" s="6">
        <v>504</v>
      </c>
      <c r="R299" s="246">
        <f>-(Q275+Q276+Q281+Q277+Q278+R284+P299)*O286</f>
        <v>-32.9906466</v>
      </c>
      <c r="U299" s="204" t="s">
        <v>444</v>
      </c>
      <c r="V299" s="129"/>
      <c r="W299" s="247">
        <f>(X275+X276+X277+X278+X281)*0.5</f>
        <v>1896.97197</v>
      </c>
      <c r="X299" s="6">
        <v>504</v>
      </c>
      <c r="Y299" s="246">
        <f>-(X275+X276+X281+X277+X278+Y284+W299)*V286</f>
        <v>-34.14549546</v>
      </c>
      <c r="AB299" s="204" t="s">
        <v>444</v>
      </c>
      <c r="AC299" s="129"/>
      <c r="AD299" s="247">
        <f>(AE275+AE276+AE277+AE278+AE281)*0.5</f>
        <v>1958.34075</v>
      </c>
      <c r="AE299" s="6">
        <v>504</v>
      </c>
      <c r="AF299" s="246">
        <f>-(AE275+AE276+AE281+AE277+AE278+AF284+AD299)*AC286</f>
        <v>-35.250133500000004</v>
      </c>
      <c r="AI299" s="204" t="s">
        <v>444</v>
      </c>
      <c r="AJ299" s="129"/>
      <c r="AK299" s="247">
        <f>(AL275+AL276+AL277+AL278+AL281)*0.5</f>
        <v>2031.425388</v>
      </c>
      <c r="AL299" s="6">
        <v>504</v>
      </c>
      <c r="AM299" s="246">
        <f>-(AL275+AL276+AL281+AL277+AL278+AM284+AK299)*AJ286</f>
        <v>-36.56565698400001</v>
      </c>
    </row>
    <row r="300" spans="1:39" ht="16.5" thickBot="1">
      <c r="A300" s="19"/>
      <c r="B300" s="204" t="s">
        <v>445</v>
      </c>
      <c r="C300" s="129"/>
      <c r="D300" s="306">
        <v>0</v>
      </c>
      <c r="E300" s="6">
        <v>505</v>
      </c>
      <c r="F300" s="246">
        <f>-(E275+E276+E281+E277+E278+F284+D299)*C287</f>
        <v>-131.0609295</v>
      </c>
      <c r="H300" s="204" t="s">
        <v>445</v>
      </c>
      <c r="I300" s="129"/>
      <c r="J300" s="306">
        <v>0</v>
      </c>
      <c r="K300" s="6">
        <v>505</v>
      </c>
      <c r="L300" s="246">
        <f>-(K275+K276+K281+K277+K278+L284+J299)*I287</f>
        <v>-154.911069</v>
      </c>
      <c r="N300" s="204" t="s">
        <v>445</v>
      </c>
      <c r="O300" s="129"/>
      <c r="P300" s="306">
        <v>0</v>
      </c>
      <c r="Q300" s="6">
        <v>505</v>
      </c>
      <c r="R300" s="246">
        <f>-(Q275+Q276+Q281+Q277+Q278+R284+P299)*O287</f>
        <v>-164.95323299999998</v>
      </c>
      <c r="U300" s="204" t="s">
        <v>445</v>
      </c>
      <c r="V300" s="129"/>
      <c r="W300" s="306">
        <v>0</v>
      </c>
      <c r="X300" s="6">
        <v>505</v>
      </c>
      <c r="Y300" s="246">
        <f>-(X275+X276+X281+X277+X278+Y284+W299)*V287</f>
        <v>-170.72747729999998</v>
      </c>
      <c r="AB300" s="204" t="s">
        <v>445</v>
      </c>
      <c r="AC300" s="129"/>
      <c r="AD300" s="306">
        <v>0</v>
      </c>
      <c r="AE300" s="6">
        <v>505</v>
      </c>
      <c r="AF300" s="246">
        <f>-(AE275+AE276+AE281+AE277+AE278+AF284+AD299)*AC287</f>
        <v>-176.2506675</v>
      </c>
      <c r="AI300" s="204" t="s">
        <v>445</v>
      </c>
      <c r="AJ300" s="129"/>
      <c r="AK300" s="306">
        <v>0</v>
      </c>
      <c r="AL300" s="6">
        <v>505</v>
      </c>
      <c r="AM300" s="246">
        <f>-(AL275+AL276+AL281+AL277+AL278+AM284+AK299)*AJ287</f>
        <v>-182.82828492000002</v>
      </c>
    </row>
    <row r="301" spans="1:39" ht="16.5" thickBot="1">
      <c r="A301" s="19"/>
      <c r="B301" s="39"/>
      <c r="C301" s="208"/>
      <c r="D301" s="20"/>
      <c r="E301" s="206"/>
      <c r="F301" s="206"/>
      <c r="H301" s="39"/>
      <c r="I301" s="208"/>
      <c r="J301" s="20"/>
      <c r="K301" s="206"/>
      <c r="L301" s="206"/>
      <c r="N301" s="39"/>
      <c r="O301" s="208"/>
      <c r="P301" s="20"/>
      <c r="Q301" s="206"/>
      <c r="R301" s="206"/>
      <c r="U301" s="39"/>
      <c r="V301" s="208"/>
      <c r="W301" s="20"/>
      <c r="X301" s="206"/>
      <c r="Y301" s="206"/>
      <c r="AB301" s="39"/>
      <c r="AC301" s="208"/>
      <c r="AD301" s="20"/>
      <c r="AE301" s="206"/>
      <c r="AF301" s="206"/>
      <c r="AI301" s="39"/>
      <c r="AJ301" s="208"/>
      <c r="AK301" s="20"/>
      <c r="AL301" s="206"/>
      <c r="AM301" s="206"/>
    </row>
    <row r="302" spans="1:39" ht="16.5" thickBot="1">
      <c r="A302" s="19"/>
      <c r="B302" s="39"/>
      <c r="C302" s="208"/>
      <c r="D302" s="250" t="s">
        <v>448</v>
      </c>
      <c r="E302" s="209"/>
      <c r="F302" s="245">
        <f>E283+D299+D300+F298+F299+F300</f>
        <v>3932.4319505999997</v>
      </c>
      <c r="H302" s="39"/>
      <c r="I302" s="208"/>
      <c r="J302" s="250" t="s">
        <v>448</v>
      </c>
      <c r="K302" s="209"/>
      <c r="L302" s="245">
        <f>K283+J299+J300+L298+L299+L300</f>
        <v>4571.6156892</v>
      </c>
      <c r="N302" s="39"/>
      <c r="O302" s="208"/>
      <c r="P302" s="250" t="s">
        <v>448</v>
      </c>
      <c r="Q302" s="209"/>
      <c r="R302" s="245">
        <f>Q283+P299+P300+R298+R299+R300</f>
        <v>4840.7456844</v>
      </c>
      <c r="U302" s="39"/>
      <c r="V302" s="208"/>
      <c r="W302" s="250" t="s">
        <v>448</v>
      </c>
      <c r="X302" s="209"/>
      <c r="Y302" s="245">
        <f>X283+W299+W300+Y298+Y299+Y300</f>
        <v>4995.49543164</v>
      </c>
      <c r="AB302" s="39"/>
      <c r="AC302" s="208"/>
      <c r="AD302" s="250" t="s">
        <v>448</v>
      </c>
      <c r="AE302" s="209"/>
      <c r="AF302" s="245">
        <f>AE283+AD299+AD300+AF298+AF299+AF300</f>
        <v>5143.516929</v>
      </c>
      <c r="AI302" s="39"/>
      <c r="AJ302" s="208"/>
      <c r="AK302" s="250" t="s">
        <v>448</v>
      </c>
      <c r="AL302" s="209"/>
      <c r="AM302" s="245">
        <f>AL283+AK299+AK300+AM298+AM299+AM300</f>
        <v>5319.797075855999</v>
      </c>
    </row>
    <row r="303" spans="1:39" ht="15.75">
      <c r="A303" s="19"/>
      <c r="B303" s="39"/>
      <c r="C303" s="208"/>
      <c r="D303" s="20"/>
      <c r="E303" s="209"/>
      <c r="F303" s="206"/>
      <c r="H303" s="39"/>
      <c r="I303" s="208"/>
      <c r="J303" s="20"/>
      <c r="K303" s="209"/>
      <c r="L303" s="206"/>
      <c r="N303" s="39"/>
      <c r="O303" s="208"/>
      <c r="P303" s="20"/>
      <c r="Q303" s="209"/>
      <c r="R303" s="206"/>
      <c r="U303" s="39"/>
      <c r="V303" s="208"/>
      <c r="W303" s="20"/>
      <c r="X303" s="209"/>
      <c r="Y303" s="206"/>
      <c r="AB303" s="39"/>
      <c r="AC303" s="208"/>
      <c r="AD303" s="20"/>
      <c r="AE303" s="209"/>
      <c r="AF303" s="206"/>
      <c r="AI303" s="39"/>
      <c r="AJ303" s="208"/>
      <c r="AK303" s="20"/>
      <c r="AL303" s="209"/>
      <c r="AM303" s="206"/>
    </row>
    <row r="304" spans="1:40" ht="15.75">
      <c r="A304" s="19"/>
      <c r="B304" s="39"/>
      <c r="C304" s="208"/>
      <c r="D304" s="314" t="s">
        <v>457</v>
      </c>
      <c r="E304" s="315"/>
      <c r="F304" s="316">
        <f>F302-E291</f>
        <v>1170.8109701999997</v>
      </c>
      <c r="H304" s="39"/>
      <c r="I304" s="208"/>
      <c r="J304" s="314" t="s">
        <v>457</v>
      </c>
      <c r="K304" s="315"/>
      <c r="L304" s="316">
        <f>L302-K291</f>
        <v>1383.8722164</v>
      </c>
      <c r="N304" s="39"/>
      <c r="O304" s="208"/>
      <c r="P304" s="314" t="s">
        <v>457</v>
      </c>
      <c r="Q304" s="315"/>
      <c r="R304" s="316">
        <f>R302-Q291</f>
        <v>1473.5822147999997</v>
      </c>
      <c r="S304" s="3" t="s">
        <v>540</v>
      </c>
      <c r="U304" s="39"/>
      <c r="V304" s="208"/>
      <c r="W304" s="314" t="s">
        <v>457</v>
      </c>
      <c r="X304" s="315"/>
      <c r="Y304" s="316">
        <f>Y302-X291</f>
        <v>1525.16546388</v>
      </c>
      <c r="Z304" s="3" t="s">
        <v>540</v>
      </c>
      <c r="AB304" s="39"/>
      <c r="AC304" s="208"/>
      <c r="AD304" s="314" t="s">
        <v>457</v>
      </c>
      <c r="AE304" s="315"/>
      <c r="AF304" s="316">
        <f>AF302-AE291</f>
        <v>1574.505963</v>
      </c>
      <c r="AG304" s="3" t="s">
        <v>540</v>
      </c>
      <c r="AI304" s="39"/>
      <c r="AJ304" s="208"/>
      <c r="AK304" s="314" t="s">
        <v>457</v>
      </c>
      <c r="AL304" s="315"/>
      <c r="AM304" s="316">
        <f>AM302-AL291</f>
        <v>1633.2660119519987</v>
      </c>
      <c r="AN304" s="3" t="s">
        <v>540</v>
      </c>
    </row>
    <row r="305" spans="1:40" ht="12.75">
      <c r="A305" s="19"/>
      <c r="L305" s="34">
        <f>L304-F304</f>
        <v>213.06124620000037</v>
      </c>
      <c r="R305" s="34">
        <f>R304-L304</f>
        <v>89.70999839999968</v>
      </c>
      <c r="S305" s="393">
        <f>R304-F304</f>
        <v>302.77124460000005</v>
      </c>
      <c r="Y305" s="34" t="e">
        <f>Y304-S304</f>
        <v>#VALUE!</v>
      </c>
      <c r="Z305" s="393">
        <f>Y304-M304</f>
        <v>1525.16546388</v>
      </c>
      <c r="AF305" s="34" t="e">
        <f>AF304-Z304</f>
        <v>#VALUE!</v>
      </c>
      <c r="AG305" s="393">
        <f>AF304-T304</f>
        <v>1574.505963</v>
      </c>
      <c r="AM305" s="34">
        <f>AM304-AF304</f>
        <v>58.76004895199867</v>
      </c>
      <c r="AN305" s="393">
        <f>AM304-AA304</f>
        <v>1633.2660119519987</v>
      </c>
    </row>
    <row r="306" spans="1:11" ht="15">
      <c r="A306" s="19"/>
      <c r="B306" s="427" t="s">
        <v>29</v>
      </c>
      <c r="C306" s="427"/>
      <c r="D306" s="439"/>
      <c r="E306" s="429"/>
      <c r="G306" s="38"/>
      <c r="H306" s="37"/>
      <c r="I306" s="19"/>
      <c r="J306" s="19"/>
      <c r="K306" s="19"/>
    </row>
    <row r="307" spans="1:11" ht="15">
      <c r="A307" s="19"/>
      <c r="B307" s="427" t="s">
        <v>571</v>
      </c>
      <c r="C307" s="427"/>
      <c r="D307" s="439"/>
      <c r="E307" s="429"/>
      <c r="G307" s="38"/>
      <c r="H307" s="37"/>
      <c r="I307" s="39"/>
      <c r="J307" s="35"/>
      <c r="K307" s="19"/>
    </row>
    <row r="308" spans="1:11" ht="15.75">
      <c r="A308" s="19"/>
      <c r="B308" s="427" t="s">
        <v>30</v>
      </c>
      <c r="C308" s="427"/>
      <c r="D308" s="439"/>
      <c r="E308" s="429"/>
      <c r="G308" s="38"/>
      <c r="H308" s="37"/>
      <c r="I308" s="39"/>
      <c r="J308" s="42"/>
      <c r="K308" s="19"/>
    </row>
    <row r="309" spans="1:11" ht="15">
      <c r="A309" s="19"/>
      <c r="B309" s="427" t="s">
        <v>427</v>
      </c>
      <c r="C309" s="427"/>
      <c r="D309" s="439"/>
      <c r="E309" s="429"/>
      <c r="G309" s="38"/>
      <c r="H309" s="41"/>
      <c r="I309" s="39"/>
      <c r="J309" s="35"/>
      <c r="K309" s="19"/>
    </row>
    <row r="310" spans="1:11" ht="15.75">
      <c r="A310" s="19"/>
      <c r="B310" s="428" t="s">
        <v>490</v>
      </c>
      <c r="C310" s="427"/>
      <c r="D310" s="439"/>
      <c r="E310" s="429"/>
      <c r="G310" s="38"/>
      <c r="H310" s="35"/>
      <c r="I310" s="39"/>
      <c r="J310" s="42"/>
      <c r="K310" s="19"/>
    </row>
    <row r="311" spans="1:11" ht="15.75">
      <c r="A311" s="19"/>
      <c r="B311" s="428" t="s">
        <v>65</v>
      </c>
      <c r="C311" s="427"/>
      <c r="D311" s="439"/>
      <c r="E311" s="429"/>
      <c r="G311" s="38"/>
      <c r="H311" s="42"/>
      <c r="I311" s="39"/>
      <c r="J311" s="19"/>
      <c r="K311" s="19"/>
    </row>
    <row r="312" spans="1:11" ht="18">
      <c r="A312" s="19"/>
      <c r="B312" s="440" t="s">
        <v>484</v>
      </c>
      <c r="C312" s="441"/>
      <c r="D312" s="439"/>
      <c r="E312" s="429"/>
      <c r="G312" s="38"/>
      <c r="H312" s="42"/>
      <c r="I312" s="39"/>
      <c r="J312" s="19"/>
      <c r="K312" s="19"/>
    </row>
    <row r="313" spans="1:11" ht="12.75">
      <c r="A313" s="19"/>
      <c r="B313" s="19"/>
      <c r="C313" s="35"/>
      <c r="D313" s="19"/>
      <c r="E313" s="35"/>
      <c r="F313" s="19"/>
      <c r="G313" s="19"/>
      <c r="H313" s="35"/>
      <c r="I313" s="39"/>
      <c r="J313" s="19"/>
      <c r="K313" s="19"/>
    </row>
    <row r="314" spans="2:11" ht="12.75">
      <c r="B314" s="35"/>
      <c r="C314" s="35"/>
      <c r="D314" s="19"/>
      <c r="E314" s="40"/>
      <c r="F314" s="19"/>
      <c r="G314" s="35"/>
      <c r="H314" s="43"/>
      <c r="I314" s="19"/>
      <c r="J314" s="19"/>
      <c r="K314" s="19"/>
    </row>
    <row r="315" spans="2:11" ht="12.75">
      <c r="B315" s="35"/>
      <c r="C315" s="35"/>
      <c r="D315" s="19"/>
      <c r="E315" s="35"/>
      <c r="F315" s="19"/>
      <c r="G315" s="19"/>
      <c r="H315" s="19"/>
      <c r="I315" s="39"/>
      <c r="J315" s="19"/>
      <c r="K315" s="19"/>
    </row>
    <row r="316" spans="2:11" ht="15.75">
      <c r="B316" s="35"/>
      <c r="C316" s="19"/>
      <c r="D316" s="251"/>
      <c r="E316" s="42"/>
      <c r="F316" s="19"/>
      <c r="G316" s="19"/>
      <c r="H316" s="19"/>
      <c r="I316" s="19"/>
      <c r="J316" s="19"/>
      <c r="K316" s="19"/>
    </row>
    <row r="317" spans="2:11" ht="18">
      <c r="B317" s="35"/>
      <c r="C317" s="19"/>
      <c r="D317" s="19"/>
      <c r="E317" s="19"/>
      <c r="F317" s="19"/>
      <c r="G317" s="19"/>
      <c r="H317" s="44"/>
      <c r="I317" s="19"/>
      <c r="J317" s="19"/>
      <c r="K317" s="19"/>
    </row>
    <row r="318" spans="2:11" ht="15.75">
      <c r="B318" s="35"/>
      <c r="C318" s="19"/>
      <c r="D318" s="39"/>
      <c r="E318" s="42"/>
      <c r="F318" s="19"/>
      <c r="G318" s="19"/>
      <c r="H318" s="35"/>
      <c r="I318" s="19"/>
      <c r="J318" s="19"/>
      <c r="K318" s="19"/>
    </row>
    <row r="319" spans="2:11" ht="18">
      <c r="B319" s="35"/>
      <c r="C319" s="45"/>
      <c r="D319" s="19"/>
      <c r="E319" s="35"/>
      <c r="F319" s="19"/>
      <c r="G319" s="19"/>
      <c r="H319" s="44"/>
      <c r="I319" s="19"/>
      <c r="J319" s="35"/>
      <c r="K319" s="19"/>
    </row>
    <row r="320" spans="2:11" ht="12.75">
      <c r="B320" s="35"/>
      <c r="C320" s="19"/>
      <c r="D320" s="19"/>
      <c r="E320" s="19"/>
      <c r="F320" s="19"/>
      <c r="G320" s="19"/>
      <c r="H320" s="35"/>
      <c r="I320" s="19"/>
      <c r="J320" s="35"/>
      <c r="K320" s="19"/>
    </row>
    <row r="321" spans="2:11" ht="12.75">
      <c r="B321" s="35"/>
      <c r="C321" s="19"/>
      <c r="D321" s="19"/>
      <c r="E321" s="19"/>
      <c r="F321" s="19"/>
      <c r="G321" s="19"/>
      <c r="H321" s="19"/>
      <c r="I321" s="19"/>
      <c r="J321" s="35"/>
      <c r="K321" s="19"/>
    </row>
    <row r="322" spans="2:11" ht="12.75">
      <c r="B322" s="35"/>
      <c r="C322" s="35"/>
      <c r="D322" s="19"/>
      <c r="E322" s="19"/>
      <c r="F322" s="19"/>
      <c r="G322" s="35"/>
      <c r="H322" s="19"/>
      <c r="I322" s="19"/>
      <c r="J322" s="19"/>
      <c r="K322" s="19"/>
    </row>
    <row r="323" spans="2:11" ht="12.75">
      <c r="B323" s="35"/>
      <c r="C323" s="35"/>
      <c r="D323" s="19"/>
      <c r="E323" s="19"/>
      <c r="F323" s="19"/>
      <c r="G323" s="35"/>
      <c r="H323" s="19"/>
      <c r="I323" s="19"/>
      <c r="J323" s="35"/>
      <c r="K323" s="19"/>
    </row>
    <row r="324" spans="2:11" ht="12.75">
      <c r="B324" s="35"/>
      <c r="C324" s="35"/>
      <c r="D324" s="19"/>
      <c r="E324" s="19"/>
      <c r="F324" s="19"/>
      <c r="G324" s="35"/>
      <c r="H324" s="19"/>
      <c r="I324" s="19"/>
      <c r="J324" s="36"/>
      <c r="K324" s="19"/>
    </row>
    <row r="325" spans="2:11" ht="12.75">
      <c r="B325" s="35"/>
      <c r="C325" s="35"/>
      <c r="D325" s="19"/>
      <c r="E325" s="19"/>
      <c r="F325" s="19"/>
      <c r="G325" s="35"/>
      <c r="H325" s="19"/>
      <c r="I325" s="19"/>
      <c r="J325" s="20"/>
      <c r="K325" s="19"/>
    </row>
    <row r="326" spans="2:11" ht="12.75">
      <c r="B326" s="35"/>
      <c r="C326" s="35"/>
      <c r="D326" s="19"/>
      <c r="E326" s="35"/>
      <c r="F326" s="19"/>
      <c r="G326" s="35"/>
      <c r="H326" s="19"/>
      <c r="I326" s="19"/>
      <c r="J326" s="36"/>
      <c r="K326" s="19"/>
    </row>
    <row r="327" spans="2:11" ht="12.75">
      <c r="B327" s="46"/>
      <c r="C327" s="36"/>
      <c r="D327" s="19"/>
      <c r="E327" s="35"/>
      <c r="F327" s="19"/>
      <c r="G327" s="46"/>
      <c r="H327" s="20"/>
      <c r="I327" s="19"/>
      <c r="J327" s="20"/>
      <c r="K327" s="19"/>
    </row>
    <row r="328" spans="2:11" ht="12.75">
      <c r="B328" s="19"/>
      <c r="C328" s="35"/>
      <c r="D328" s="19"/>
      <c r="E328" s="35"/>
      <c r="F328" s="19"/>
      <c r="G328" s="36"/>
      <c r="H328" s="20"/>
      <c r="I328" s="47"/>
      <c r="J328" s="20"/>
      <c r="K328" s="19"/>
    </row>
    <row r="329" spans="2:11" ht="12.75">
      <c r="B329" s="19"/>
      <c r="C329" s="35"/>
      <c r="D329" s="19"/>
      <c r="E329" s="19"/>
      <c r="F329" s="19"/>
      <c r="G329" s="36"/>
      <c r="H329" s="20"/>
      <c r="I329" s="20"/>
      <c r="J329" s="20"/>
      <c r="K329" s="19"/>
    </row>
    <row r="330" spans="2:11" ht="12.75">
      <c r="B330" s="19"/>
      <c r="C330" s="19"/>
      <c r="D330" s="19"/>
      <c r="E330" s="35"/>
      <c r="F330" s="19"/>
      <c r="G330" s="20"/>
      <c r="H330" s="20"/>
      <c r="I330" s="47"/>
      <c r="J330" s="19"/>
      <c r="K330" s="19"/>
    </row>
    <row r="331" spans="2:11" ht="12.75">
      <c r="B331" s="19"/>
      <c r="C331" s="19"/>
      <c r="D331" s="47"/>
      <c r="E331" s="36"/>
      <c r="F331" s="19"/>
      <c r="G331" s="20"/>
      <c r="H331" s="20"/>
      <c r="I331" s="20"/>
      <c r="J331" s="19"/>
      <c r="K331" s="19"/>
    </row>
    <row r="332" spans="2:11" ht="12.75">
      <c r="B332" s="19"/>
      <c r="C332" s="19"/>
      <c r="D332" s="19"/>
      <c r="E332" s="19"/>
      <c r="F332" s="19"/>
      <c r="G332" s="36"/>
      <c r="H332" s="20"/>
      <c r="I332" s="20"/>
      <c r="J332" s="19"/>
      <c r="K332" s="19"/>
    </row>
    <row r="333" spans="2:11" ht="12.75">
      <c r="B333" s="19"/>
      <c r="C333" s="19"/>
      <c r="D333" s="47"/>
      <c r="E333" s="36"/>
      <c r="F333" s="19"/>
      <c r="G333" s="19"/>
      <c r="H333" s="19"/>
      <c r="I333" s="36"/>
      <c r="J333" s="19"/>
      <c r="K333" s="19"/>
    </row>
    <row r="334" spans="2:11" ht="12.75">
      <c r="B334" s="19"/>
      <c r="C334" s="19"/>
      <c r="D334" s="19"/>
      <c r="E334" s="19"/>
      <c r="F334" s="19"/>
      <c r="G334" s="19"/>
      <c r="H334" s="19"/>
      <c r="I334" s="19"/>
      <c r="J334" s="35"/>
      <c r="K334" s="19"/>
    </row>
    <row r="335" spans="2:11" ht="12.75">
      <c r="B335" s="19"/>
      <c r="C335" s="20"/>
      <c r="D335" s="19"/>
      <c r="E335" s="35"/>
      <c r="F335" s="19"/>
      <c r="G335" s="19"/>
      <c r="H335" s="19"/>
      <c r="I335" s="19"/>
      <c r="J335" s="35"/>
      <c r="K335" s="19"/>
    </row>
    <row r="336" spans="2:11" ht="12.75">
      <c r="B336" s="19"/>
      <c r="C336" s="19"/>
      <c r="D336" s="19"/>
      <c r="E336" s="35"/>
      <c r="F336" s="19"/>
      <c r="G336" s="19"/>
      <c r="H336" s="19"/>
      <c r="I336" s="19"/>
      <c r="J336" s="35"/>
      <c r="K336" s="19"/>
    </row>
    <row r="337" spans="2:11" ht="12.75">
      <c r="B337" s="35"/>
      <c r="C337" s="35"/>
      <c r="D337" s="19"/>
      <c r="E337" s="19"/>
      <c r="F337" s="19"/>
      <c r="G337" s="35"/>
      <c r="H337" s="35"/>
      <c r="I337" s="19"/>
      <c r="J337" s="19"/>
      <c r="K337" s="19"/>
    </row>
    <row r="338" spans="2:11" ht="12.75">
      <c r="B338" s="35"/>
      <c r="C338" s="35"/>
      <c r="D338" s="19"/>
      <c r="E338" s="19"/>
      <c r="F338" s="19"/>
      <c r="G338" s="35"/>
      <c r="H338" s="35"/>
      <c r="I338" s="19"/>
      <c r="J338" s="35"/>
      <c r="K338" s="19"/>
    </row>
    <row r="339" spans="2:11" ht="12.75">
      <c r="B339" s="35"/>
      <c r="C339" s="35"/>
      <c r="D339" s="19"/>
      <c r="E339" s="19"/>
      <c r="F339" s="19"/>
      <c r="G339" s="35"/>
      <c r="H339" s="35"/>
      <c r="I339" s="19"/>
      <c r="J339" s="35"/>
      <c r="K339" s="19"/>
    </row>
    <row r="340" spans="2:11" ht="12.75">
      <c r="B340" s="35"/>
      <c r="C340" s="35"/>
      <c r="D340" s="19"/>
      <c r="E340" s="19"/>
      <c r="F340" s="19"/>
      <c r="G340" s="35"/>
      <c r="H340" s="35"/>
      <c r="I340" s="19"/>
      <c r="J340" s="19"/>
      <c r="K340" s="19"/>
    </row>
    <row r="341" spans="2:11" ht="12.75">
      <c r="B341" s="35"/>
      <c r="C341" s="35"/>
      <c r="D341" s="19"/>
      <c r="E341" s="35"/>
      <c r="F341" s="19"/>
      <c r="G341" s="35"/>
      <c r="H341" s="35"/>
      <c r="I341" s="19"/>
      <c r="J341" s="35"/>
      <c r="K341" s="19"/>
    </row>
    <row r="342" spans="2:11" ht="12.75">
      <c r="B342" s="46"/>
      <c r="C342" s="35"/>
      <c r="D342" s="19"/>
      <c r="E342" s="35"/>
      <c r="F342" s="19"/>
      <c r="G342" s="46"/>
      <c r="H342" s="35"/>
      <c r="I342" s="19"/>
      <c r="J342" s="19"/>
      <c r="K342" s="19"/>
    </row>
    <row r="343" spans="2:11" ht="12.75">
      <c r="B343" s="19"/>
      <c r="C343" s="19"/>
      <c r="D343" s="19"/>
      <c r="E343" s="35"/>
      <c r="F343" s="19"/>
      <c r="G343" s="36"/>
      <c r="H343" s="19"/>
      <c r="I343" s="19"/>
      <c r="J343" s="19"/>
      <c r="K343" s="19"/>
    </row>
    <row r="344" spans="2:11" ht="12.75">
      <c r="B344" s="19"/>
      <c r="C344" s="35"/>
      <c r="D344" s="19"/>
      <c r="E344" s="19"/>
      <c r="F344" s="19"/>
      <c r="G344" s="36"/>
      <c r="H344" s="35"/>
      <c r="I344" s="19"/>
      <c r="J344" s="19"/>
      <c r="K344" s="19"/>
    </row>
    <row r="345" spans="2:11" ht="12.75">
      <c r="B345" s="19"/>
      <c r="C345" s="19"/>
      <c r="D345" s="19"/>
      <c r="E345" s="35"/>
      <c r="F345" s="19"/>
      <c r="G345" s="20"/>
      <c r="H345" s="35"/>
      <c r="I345" s="19"/>
      <c r="J345" s="19"/>
      <c r="K345" s="19"/>
    </row>
    <row r="346" spans="2:11" ht="12.75">
      <c r="B346" s="19"/>
      <c r="C346" s="19"/>
      <c r="D346" s="47"/>
      <c r="E346" s="35"/>
      <c r="F346" s="19"/>
      <c r="G346" s="20"/>
      <c r="H346" s="19"/>
      <c r="I346" s="20"/>
      <c r="J346" s="19"/>
      <c r="K346" s="19"/>
    </row>
    <row r="347" spans="2:11" ht="12.75">
      <c r="B347" s="19"/>
      <c r="C347" s="19"/>
      <c r="D347" s="19"/>
      <c r="E347" s="19"/>
      <c r="F347" s="19"/>
      <c r="G347" s="36"/>
      <c r="H347" s="20"/>
      <c r="I347" s="19"/>
      <c r="J347" s="19"/>
      <c r="K347" s="19"/>
    </row>
    <row r="348" spans="2:11" ht="12.75">
      <c r="B348" s="19"/>
      <c r="C348" s="19"/>
      <c r="D348" s="47"/>
      <c r="E348" s="35"/>
      <c r="F348" s="19"/>
      <c r="G348" s="36"/>
      <c r="H348" s="20"/>
      <c r="I348" s="36"/>
      <c r="J348" s="19"/>
      <c r="K348" s="19"/>
    </row>
    <row r="349" spans="2:11" ht="12.75">
      <c r="B349" s="19"/>
      <c r="C349" s="19"/>
      <c r="D349" s="19"/>
      <c r="E349" s="19"/>
      <c r="F349" s="19"/>
      <c r="G349" s="36"/>
      <c r="H349" s="20"/>
      <c r="I349" s="36"/>
      <c r="J349" s="19"/>
      <c r="K349" s="19"/>
    </row>
    <row r="350" spans="2:11" ht="12.75">
      <c r="B350" s="19"/>
      <c r="C350" s="20"/>
      <c r="D350" s="19"/>
      <c r="E350" s="19"/>
      <c r="F350" s="19"/>
      <c r="G350" s="19"/>
      <c r="H350" s="19"/>
      <c r="I350" s="36"/>
      <c r="J350" s="35"/>
      <c r="K350" s="19"/>
    </row>
    <row r="351" spans="2:11" ht="12.75">
      <c r="B351" s="19"/>
      <c r="C351" s="19"/>
      <c r="D351" s="19"/>
      <c r="E351" s="19"/>
      <c r="F351" s="19"/>
      <c r="G351" s="19"/>
      <c r="H351" s="19"/>
      <c r="I351" s="19"/>
      <c r="J351" s="35"/>
      <c r="K351" s="19"/>
    </row>
    <row r="352" spans="2:11" ht="12.75">
      <c r="B352" s="19"/>
      <c r="C352" s="19"/>
      <c r="D352" s="19"/>
      <c r="E352" s="19"/>
      <c r="F352" s="19"/>
      <c r="G352" s="19"/>
      <c r="H352" s="19"/>
      <c r="I352" s="19"/>
      <c r="J352" s="35"/>
      <c r="K352" s="19"/>
    </row>
    <row r="353" spans="2:11" ht="12.75">
      <c r="B353" s="35"/>
      <c r="C353" s="35"/>
      <c r="D353" s="19"/>
      <c r="E353" s="19"/>
      <c r="F353" s="19"/>
      <c r="G353" s="35"/>
      <c r="H353" s="35"/>
      <c r="I353" s="19"/>
      <c r="J353" s="19"/>
      <c r="K353" s="19"/>
    </row>
    <row r="354" spans="2:11" ht="12.75">
      <c r="B354" s="35"/>
      <c r="C354" s="35"/>
      <c r="D354" s="19"/>
      <c r="E354" s="19"/>
      <c r="F354" s="19"/>
      <c r="G354" s="35"/>
      <c r="H354" s="35"/>
      <c r="I354" s="19"/>
      <c r="J354" s="35"/>
      <c r="K354" s="19"/>
    </row>
    <row r="355" spans="2:11" ht="12.75">
      <c r="B355" s="35"/>
      <c r="C355" s="35"/>
      <c r="D355" s="19"/>
      <c r="E355" s="19"/>
      <c r="F355" s="19"/>
      <c r="G355" s="35"/>
      <c r="H355" s="35"/>
      <c r="I355" s="19"/>
      <c r="J355" s="35"/>
      <c r="K355" s="19"/>
    </row>
    <row r="356" spans="2:11" ht="12.75">
      <c r="B356" s="35"/>
      <c r="C356" s="35"/>
      <c r="D356" s="19"/>
      <c r="E356" s="19"/>
      <c r="F356" s="19"/>
      <c r="G356" s="35"/>
      <c r="H356" s="35"/>
      <c r="I356" s="19"/>
      <c r="J356" s="19"/>
      <c r="K356" s="19"/>
    </row>
    <row r="357" spans="2:11" ht="12.75">
      <c r="B357" s="35"/>
      <c r="C357" s="35"/>
      <c r="D357" s="19"/>
      <c r="E357" s="35"/>
      <c r="F357" s="19"/>
      <c r="G357" s="35"/>
      <c r="H357" s="35"/>
      <c r="I357" s="19"/>
      <c r="J357" s="35"/>
      <c r="K357" s="19"/>
    </row>
    <row r="358" spans="2:11" ht="12.75">
      <c r="B358" s="46"/>
      <c r="C358" s="35"/>
      <c r="D358" s="19"/>
      <c r="E358" s="35"/>
      <c r="F358" s="19"/>
      <c r="G358" s="46"/>
      <c r="H358" s="35"/>
      <c r="I358" s="19"/>
      <c r="J358" s="19"/>
      <c r="K358" s="19"/>
    </row>
    <row r="359" spans="2:11" ht="12.75">
      <c r="B359" s="19"/>
      <c r="C359" s="19"/>
      <c r="D359" s="19"/>
      <c r="E359" s="35"/>
      <c r="F359" s="19"/>
      <c r="G359" s="36"/>
      <c r="H359" s="19"/>
      <c r="I359" s="47"/>
      <c r="J359" s="19"/>
      <c r="K359" s="19"/>
    </row>
    <row r="360" spans="2:11" ht="12.75">
      <c r="B360" s="19"/>
      <c r="C360" s="35"/>
      <c r="D360" s="19"/>
      <c r="E360" s="19"/>
      <c r="F360" s="19"/>
      <c r="G360" s="36"/>
      <c r="H360" s="35"/>
      <c r="I360" s="20"/>
      <c r="J360" s="19"/>
      <c r="K360" s="19"/>
    </row>
    <row r="361" spans="2:11" ht="12.75">
      <c r="B361" s="19"/>
      <c r="C361" s="19"/>
      <c r="D361" s="19"/>
      <c r="E361" s="35"/>
      <c r="F361" s="19"/>
      <c r="G361" s="20"/>
      <c r="H361" s="35"/>
      <c r="I361" s="47"/>
      <c r="J361" s="19"/>
      <c r="K361" s="19"/>
    </row>
    <row r="362" spans="2:11" ht="12.75">
      <c r="B362" s="19"/>
      <c r="C362" s="19"/>
      <c r="D362" s="47"/>
      <c r="E362" s="35"/>
      <c r="F362" s="19"/>
      <c r="G362" s="20"/>
      <c r="H362" s="19"/>
      <c r="I362" s="19"/>
      <c r="J362" s="19"/>
      <c r="K362" s="19"/>
    </row>
    <row r="363" spans="2:11" ht="12.75">
      <c r="B363" s="19"/>
      <c r="C363" s="19"/>
      <c r="D363" s="19"/>
      <c r="E363" s="19"/>
      <c r="F363" s="19"/>
      <c r="G363" s="36"/>
      <c r="H363" s="19"/>
      <c r="I363" s="19"/>
      <c r="J363" s="19"/>
      <c r="K363" s="19"/>
    </row>
    <row r="364" spans="2:11" ht="12.75">
      <c r="B364" s="19"/>
      <c r="C364" s="19"/>
      <c r="D364" s="47"/>
      <c r="E364" s="35"/>
      <c r="F364" s="19"/>
      <c r="G364" s="19"/>
      <c r="H364" s="19"/>
      <c r="I364" s="35"/>
      <c r="J364" s="19"/>
      <c r="K364" s="19"/>
    </row>
    <row r="365" spans="2:11" ht="12.75">
      <c r="B365" s="19"/>
      <c r="C365" s="19"/>
      <c r="D365" s="19"/>
      <c r="E365" s="19"/>
      <c r="F365" s="19"/>
      <c r="G365" s="19"/>
      <c r="H365" s="19"/>
      <c r="I365" s="19"/>
      <c r="J365" s="19"/>
      <c r="K365" s="19"/>
    </row>
    <row r="366" spans="2:10" ht="12.75">
      <c r="B366" s="19"/>
      <c r="C366" s="19"/>
      <c r="D366" s="19"/>
      <c r="E366" s="19"/>
      <c r="F366" s="19"/>
      <c r="G366" s="19"/>
      <c r="H366" s="19"/>
      <c r="I366" s="19"/>
      <c r="J366" s="19"/>
    </row>
    <row r="367" spans="2:9" ht="12.75">
      <c r="B367" s="19"/>
      <c r="C367" s="19"/>
      <c r="D367" s="19"/>
      <c r="E367" s="19"/>
      <c r="F367" s="19"/>
      <c r="G367" s="19"/>
      <c r="H367" s="19"/>
      <c r="I367" s="19"/>
    </row>
    <row r="368" spans="2:9" ht="12.75">
      <c r="B368" s="19"/>
      <c r="C368" s="19"/>
      <c r="D368" s="19"/>
      <c r="E368" s="19"/>
      <c r="F368" s="19"/>
      <c r="G368" s="19"/>
      <c r="H368" s="19"/>
      <c r="I368" s="19"/>
    </row>
    <row r="369" spans="2:9" ht="12.75">
      <c r="B369" s="19"/>
      <c r="C369" s="19"/>
      <c r="D369" s="19"/>
      <c r="E369" s="19"/>
      <c r="F369" s="19"/>
      <c r="G369" s="19"/>
      <c r="H369" s="19"/>
      <c r="I369" s="19"/>
    </row>
    <row r="370" spans="4:9" ht="12.75">
      <c r="D370" s="19"/>
      <c r="E370" s="19"/>
      <c r="F370" s="19"/>
      <c r="I370" s="19"/>
    </row>
    <row r="371" spans="4:6" ht="12.75">
      <c r="D371" s="19"/>
      <c r="E371" s="19"/>
      <c r="F371" s="19"/>
    </row>
    <row r="372" spans="4:6" ht="12.75">
      <c r="D372" s="19"/>
      <c r="E372" s="19"/>
      <c r="F372" s="19"/>
    </row>
    <row r="373" spans="4:6" ht="12.75">
      <c r="D373" s="19"/>
      <c r="E373" s="19"/>
      <c r="F373" s="19"/>
    </row>
    <row r="382" ht="12.75"/>
  </sheetData>
  <sheetProtection password="C9B5" sheet="1" objects="1" scenarios="1" selectLockedCells="1"/>
  <hyperlinks>
    <hyperlink ref="C6" location="Cargos" display="cargos"/>
    <hyperlink ref="C7" location="HORAS_DE_NIVEL_MEDIO" display="horas nivel medio"/>
    <hyperlink ref="C8" location="HORAS_DE_NIVEL_Superior" display="horas nivel superior"/>
    <hyperlink ref="C5" location="instructivo" display="Instructivo"/>
    <hyperlink ref="B311" r:id="rId1" display="www.agmeruruguay.com.ar"/>
    <hyperlink ref="C9:D9" location="Cargos!A1" display="listado de cargos"/>
    <hyperlink ref="B32" location="Cargos!A1" display="Cargos"/>
    <hyperlink ref="A57" r:id="rId2" display="www.agmeruruguay.com.ar"/>
    <hyperlink ref="A58" r:id="rId3" display="www.celestecompromiso.com.ar"/>
    <hyperlink ref="B312" r:id="rId4" display="www.celestecompromiso.com.ar"/>
    <hyperlink ref="B310" r:id="rId5" display="victorhutt@victorhutt.com.ar"/>
    <hyperlink ref="A56" r:id="rId6" display="victorhutt@victorhutt.com.ar"/>
  </hyperlinks>
  <printOptions/>
  <pageMargins left="0.7874015748031497" right="0.7874015748031497" top="0.5905511811023623" bottom="0.5905511811023623" header="0.5905511811023623" footer="0"/>
  <pageSetup horizontalDpi="360" verticalDpi="360" orientation="landscape" paperSize="5" scale="82" r:id="rId10"/>
  <rowBreaks count="4" manualBreakCount="4">
    <brk id="49" max="255" man="1"/>
    <brk id="81" max="255" man="1"/>
    <brk id="89" max="255" man="1"/>
    <brk id="196" max="255" man="1"/>
  </rowBreaks>
  <drawing r:id="rId9"/>
  <legacyDrawing r:id="rId8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/>
  <dimension ref="A1:G314"/>
  <sheetViews>
    <sheetView zoomScale="85" zoomScaleNormal="85" zoomScalePageLayoutView="0" workbookViewId="0" topLeftCell="A1">
      <pane ySplit="2" topLeftCell="A36" activePane="bottomLeft" state="frozen"/>
      <selection pane="topLeft" activeCell="A1" sqref="A1"/>
      <selection pane="bottomLeft" activeCell="B65" sqref="B65"/>
    </sheetView>
  </sheetViews>
  <sheetFormatPr defaultColWidth="11.421875" defaultRowHeight="12.75"/>
  <cols>
    <col min="2" max="2" width="64.8515625" style="0" bestFit="1" customWidth="1"/>
    <col min="3" max="3" width="8.7109375" style="0" bestFit="1" customWidth="1"/>
    <col min="4" max="4" width="20.57421875" style="382" customWidth="1"/>
    <col min="5" max="5" width="7.00390625" style="0" bestFit="1" customWidth="1"/>
    <col min="6" max="6" width="6.00390625" style="0" bestFit="1" customWidth="1"/>
    <col min="7" max="7" width="8.57421875" style="0" bestFit="1" customWidth="1"/>
  </cols>
  <sheetData>
    <row r="1" spans="1:7" ht="13.5" thickBot="1">
      <c r="A1" s="60"/>
      <c r="B1" s="311" t="s">
        <v>454</v>
      </c>
      <c r="C1" s="61"/>
      <c r="D1" s="379" t="s">
        <v>66</v>
      </c>
      <c r="E1" s="62" t="s">
        <v>67</v>
      </c>
      <c r="F1" s="63" t="s">
        <v>68</v>
      </c>
      <c r="G1" s="63" t="s">
        <v>69</v>
      </c>
    </row>
    <row r="2" spans="1:7" ht="12.75">
      <c r="A2" s="64" t="s">
        <v>70</v>
      </c>
      <c r="B2" s="65" t="s">
        <v>71</v>
      </c>
      <c r="C2" s="64" t="s">
        <v>72</v>
      </c>
      <c r="D2" s="380" t="s">
        <v>525</v>
      </c>
      <c r="E2" s="66" t="s">
        <v>73</v>
      </c>
      <c r="F2" s="66" t="s">
        <v>74</v>
      </c>
      <c r="G2" s="66" t="s">
        <v>75</v>
      </c>
    </row>
    <row r="3" spans="1:7" ht="12.75">
      <c r="A3" s="67">
        <v>600</v>
      </c>
      <c r="B3" s="68" t="s">
        <v>76</v>
      </c>
      <c r="C3" s="67">
        <v>1300</v>
      </c>
      <c r="D3" s="381">
        <v>127</v>
      </c>
      <c r="E3" s="69">
        <v>0</v>
      </c>
      <c r="F3" s="67">
        <v>0</v>
      </c>
      <c r="G3" s="67">
        <v>0</v>
      </c>
    </row>
    <row r="4" spans="1:7" ht="12.75">
      <c r="A4" s="67">
        <v>603</v>
      </c>
      <c r="B4" s="68" t="s">
        <v>77</v>
      </c>
      <c r="C4" s="67">
        <v>3146</v>
      </c>
      <c r="D4" s="381">
        <v>0</v>
      </c>
      <c r="E4" s="69">
        <v>0</v>
      </c>
      <c r="F4" s="67">
        <v>0</v>
      </c>
      <c r="G4" s="67">
        <v>0</v>
      </c>
    </row>
    <row r="5" spans="1:7" ht="12.75">
      <c r="A5" s="67">
        <v>604</v>
      </c>
      <c r="B5" s="68" t="s">
        <v>78</v>
      </c>
      <c r="C5" s="67">
        <v>3146</v>
      </c>
      <c r="D5" s="381">
        <v>0</v>
      </c>
      <c r="E5" s="69">
        <v>0</v>
      </c>
      <c r="F5" s="67">
        <v>0</v>
      </c>
      <c r="G5" s="67">
        <v>0</v>
      </c>
    </row>
    <row r="6" spans="1:7" ht="12.75">
      <c r="A6" s="67">
        <v>605</v>
      </c>
      <c r="B6" s="68" t="s">
        <v>79</v>
      </c>
      <c r="C6" s="67">
        <v>2913</v>
      </c>
      <c r="D6" s="381">
        <v>0</v>
      </c>
      <c r="E6" s="69">
        <v>0</v>
      </c>
      <c r="F6" s="67">
        <v>0</v>
      </c>
      <c r="G6" s="67">
        <v>0</v>
      </c>
    </row>
    <row r="7" spans="1:7" ht="12.75">
      <c r="A7" s="67">
        <v>606</v>
      </c>
      <c r="B7" s="68" t="s">
        <v>80</v>
      </c>
      <c r="C7" s="67">
        <v>2913</v>
      </c>
      <c r="D7" s="381">
        <v>0</v>
      </c>
      <c r="E7" s="69">
        <v>0</v>
      </c>
      <c r="F7" s="67">
        <v>0</v>
      </c>
      <c r="G7" s="67">
        <v>0</v>
      </c>
    </row>
    <row r="8" spans="1:7" ht="12.75">
      <c r="A8" s="67">
        <v>608</v>
      </c>
      <c r="B8" s="68" t="s">
        <v>81</v>
      </c>
      <c r="C8" s="67">
        <v>2913</v>
      </c>
      <c r="D8" s="381">
        <v>0</v>
      </c>
      <c r="E8" s="69">
        <v>0</v>
      </c>
      <c r="F8" s="67">
        <v>0</v>
      </c>
      <c r="G8" s="67">
        <v>0</v>
      </c>
    </row>
    <row r="9" spans="1:7" ht="12.75">
      <c r="A9" s="67">
        <v>609</v>
      </c>
      <c r="B9" s="68" t="s">
        <v>82</v>
      </c>
      <c r="C9" s="67">
        <v>2000</v>
      </c>
      <c r="D9" s="381">
        <v>36</v>
      </c>
      <c r="E9" s="69">
        <v>0</v>
      </c>
      <c r="F9" s="67">
        <v>0</v>
      </c>
      <c r="G9" s="67">
        <v>0</v>
      </c>
    </row>
    <row r="10" spans="1:7" ht="12.75">
      <c r="A10" s="67">
        <v>611</v>
      </c>
      <c r="B10" s="68" t="s">
        <v>83</v>
      </c>
      <c r="C10" s="67">
        <v>1840</v>
      </c>
      <c r="D10" s="381">
        <v>57</v>
      </c>
      <c r="E10" s="69">
        <v>0</v>
      </c>
      <c r="F10" s="67">
        <v>0</v>
      </c>
      <c r="G10" s="67">
        <v>0</v>
      </c>
    </row>
    <row r="11" spans="1:7" ht="12.75">
      <c r="A11" s="67">
        <v>612</v>
      </c>
      <c r="B11" s="68" t="s">
        <v>84</v>
      </c>
      <c r="C11" s="67">
        <v>1690</v>
      </c>
      <c r="D11" s="381">
        <v>76</v>
      </c>
      <c r="E11" s="69">
        <v>0</v>
      </c>
      <c r="F11" s="67">
        <v>0</v>
      </c>
      <c r="G11" s="67">
        <v>0</v>
      </c>
    </row>
    <row r="12" spans="1:7" ht="12.75">
      <c r="A12" s="67">
        <v>613</v>
      </c>
      <c r="B12" s="68" t="s">
        <v>85</v>
      </c>
      <c r="C12" s="67">
        <v>1680</v>
      </c>
      <c r="D12" s="381">
        <v>77</v>
      </c>
      <c r="E12" s="69">
        <v>0</v>
      </c>
      <c r="F12" s="67">
        <v>0</v>
      </c>
      <c r="G12" s="67">
        <v>0</v>
      </c>
    </row>
    <row r="13" spans="1:7" ht="12.75">
      <c r="A13" s="67">
        <v>614</v>
      </c>
      <c r="B13" s="68" t="s">
        <v>86</v>
      </c>
      <c r="C13" s="67">
        <v>1740</v>
      </c>
      <c r="D13" s="381">
        <v>70</v>
      </c>
      <c r="E13" s="69">
        <v>0</v>
      </c>
      <c r="F13" s="67">
        <v>0</v>
      </c>
      <c r="G13" s="67">
        <v>0</v>
      </c>
    </row>
    <row r="14" spans="1:7" ht="12.75">
      <c r="A14" s="67">
        <v>615</v>
      </c>
      <c r="B14" s="68" t="s">
        <v>87</v>
      </c>
      <c r="C14" s="67">
        <v>1610</v>
      </c>
      <c r="D14" s="381">
        <v>87</v>
      </c>
      <c r="E14" s="69">
        <v>0</v>
      </c>
      <c r="F14" s="67">
        <v>0</v>
      </c>
      <c r="G14" s="67">
        <v>0</v>
      </c>
    </row>
    <row r="15" spans="1:7" ht="12.75">
      <c r="A15" s="67">
        <v>616</v>
      </c>
      <c r="B15" s="68" t="s">
        <v>88</v>
      </c>
      <c r="C15" s="67">
        <v>1740</v>
      </c>
      <c r="D15" s="381">
        <v>70</v>
      </c>
      <c r="E15" s="69">
        <v>0</v>
      </c>
      <c r="F15" s="67">
        <v>0</v>
      </c>
      <c r="G15" s="67">
        <v>0</v>
      </c>
    </row>
    <row r="16" spans="1:7" ht="12.75">
      <c r="A16" s="67">
        <v>617</v>
      </c>
      <c r="B16" s="68" t="s">
        <v>89</v>
      </c>
      <c r="C16" s="67">
        <v>1610</v>
      </c>
      <c r="D16" s="381">
        <v>87</v>
      </c>
      <c r="E16" s="69">
        <v>0</v>
      </c>
      <c r="F16" s="67">
        <v>0</v>
      </c>
      <c r="G16" s="67">
        <v>0</v>
      </c>
    </row>
    <row r="17" spans="1:7" ht="12.75">
      <c r="A17" s="67">
        <v>618</v>
      </c>
      <c r="B17" s="68" t="s">
        <v>90</v>
      </c>
      <c r="C17" s="67">
        <v>1500</v>
      </c>
      <c r="D17" s="381">
        <v>101</v>
      </c>
      <c r="E17" s="69">
        <v>0</v>
      </c>
      <c r="F17" s="67">
        <v>0</v>
      </c>
      <c r="G17" s="67">
        <v>0</v>
      </c>
    </row>
    <row r="18" spans="1:7" ht="12.75">
      <c r="A18" s="67">
        <v>619</v>
      </c>
      <c r="B18" s="68" t="s">
        <v>91</v>
      </c>
      <c r="C18" s="67">
        <v>1320</v>
      </c>
      <c r="D18" s="381">
        <v>124</v>
      </c>
      <c r="E18" s="69">
        <v>0</v>
      </c>
      <c r="F18" s="67">
        <v>0</v>
      </c>
      <c r="G18" s="67">
        <v>0</v>
      </c>
    </row>
    <row r="19" spans="1:7" ht="12.75">
      <c r="A19" s="67">
        <v>620</v>
      </c>
      <c r="B19" s="68" t="s">
        <v>92</v>
      </c>
      <c r="C19" s="67">
        <v>1550</v>
      </c>
      <c r="D19" s="381">
        <v>94</v>
      </c>
      <c r="E19" s="69">
        <v>0</v>
      </c>
      <c r="F19" s="67">
        <v>0</v>
      </c>
      <c r="G19" s="67">
        <v>0</v>
      </c>
    </row>
    <row r="20" spans="1:7" ht="12.75">
      <c r="A20" s="67">
        <v>621</v>
      </c>
      <c r="B20" s="68" t="s">
        <v>93</v>
      </c>
      <c r="C20" s="67">
        <v>1340</v>
      </c>
      <c r="D20" s="381">
        <v>122</v>
      </c>
      <c r="E20" s="69">
        <v>0</v>
      </c>
      <c r="F20" s="67">
        <v>0</v>
      </c>
      <c r="G20" s="67">
        <v>0</v>
      </c>
    </row>
    <row r="21" spans="1:7" ht="12.75">
      <c r="A21" s="67">
        <v>622</v>
      </c>
      <c r="B21" s="68" t="s">
        <v>94</v>
      </c>
      <c r="C21" s="67">
        <v>971</v>
      </c>
      <c r="D21" s="381">
        <v>170</v>
      </c>
      <c r="E21" s="69">
        <v>0</v>
      </c>
      <c r="F21" s="67">
        <v>0</v>
      </c>
      <c r="G21" s="67">
        <v>0</v>
      </c>
    </row>
    <row r="22" spans="1:7" ht="12.75">
      <c r="A22" s="67">
        <v>623</v>
      </c>
      <c r="B22" s="68" t="s">
        <v>95</v>
      </c>
      <c r="C22" s="67">
        <v>1690</v>
      </c>
      <c r="D22" s="381">
        <v>76</v>
      </c>
      <c r="E22" s="69">
        <v>0</v>
      </c>
      <c r="F22" s="67">
        <v>0</v>
      </c>
      <c r="G22" s="67">
        <v>0</v>
      </c>
    </row>
    <row r="23" spans="1:7" ht="12.75">
      <c r="A23" s="67">
        <v>624</v>
      </c>
      <c r="B23" s="68" t="s">
        <v>96</v>
      </c>
      <c r="C23" s="67">
        <v>1400</v>
      </c>
      <c r="D23" s="381">
        <v>114</v>
      </c>
      <c r="E23" s="69">
        <v>0</v>
      </c>
      <c r="F23" s="67">
        <v>0</v>
      </c>
      <c r="G23" s="67">
        <v>0</v>
      </c>
    </row>
    <row r="24" spans="1:7" ht="12.75">
      <c r="A24" s="67">
        <v>625</v>
      </c>
      <c r="B24" s="68" t="s">
        <v>97</v>
      </c>
      <c r="C24" s="67">
        <v>1370</v>
      </c>
      <c r="D24" s="381">
        <v>118</v>
      </c>
      <c r="E24" s="69">
        <v>0</v>
      </c>
      <c r="F24" s="67">
        <v>0</v>
      </c>
      <c r="G24" s="67">
        <v>0</v>
      </c>
    </row>
    <row r="25" spans="1:7" ht="12.75">
      <c r="A25" s="67">
        <v>626</v>
      </c>
      <c r="B25" s="68" t="s">
        <v>98</v>
      </c>
      <c r="C25" s="67">
        <v>1340</v>
      </c>
      <c r="D25" s="381">
        <v>122</v>
      </c>
      <c r="E25" s="69">
        <v>0</v>
      </c>
      <c r="F25" s="67">
        <v>0</v>
      </c>
      <c r="G25" s="67">
        <v>0</v>
      </c>
    </row>
    <row r="26" spans="1:7" ht="12.75">
      <c r="A26" s="67">
        <v>627</v>
      </c>
      <c r="B26" s="68" t="s">
        <v>99</v>
      </c>
      <c r="C26" s="67">
        <v>1300</v>
      </c>
      <c r="D26" s="381">
        <v>127</v>
      </c>
      <c r="E26" s="69">
        <v>0</v>
      </c>
      <c r="F26" s="67">
        <v>0</v>
      </c>
      <c r="G26" s="67">
        <v>0</v>
      </c>
    </row>
    <row r="27" spans="1:7" ht="12.75">
      <c r="A27" s="67">
        <v>628</v>
      </c>
      <c r="B27" s="68" t="s">
        <v>100</v>
      </c>
      <c r="C27" s="67">
        <v>980</v>
      </c>
      <c r="D27" s="381">
        <v>169</v>
      </c>
      <c r="E27" s="69">
        <v>0</v>
      </c>
      <c r="F27" s="67">
        <v>0</v>
      </c>
      <c r="G27" s="67">
        <v>0</v>
      </c>
    </row>
    <row r="28" spans="1:7" ht="12.75">
      <c r="A28" s="67">
        <v>629</v>
      </c>
      <c r="B28" s="68" t="s">
        <v>101</v>
      </c>
      <c r="C28" s="67">
        <v>941</v>
      </c>
      <c r="D28" s="381">
        <v>174</v>
      </c>
      <c r="E28" s="69">
        <v>0</v>
      </c>
      <c r="F28" s="67">
        <v>0</v>
      </c>
      <c r="G28" s="67">
        <v>0</v>
      </c>
    </row>
    <row r="29" spans="1:7" ht="12.75">
      <c r="A29" s="67">
        <v>630</v>
      </c>
      <c r="B29" s="68" t="s">
        <v>102</v>
      </c>
      <c r="C29" s="67">
        <v>1170</v>
      </c>
      <c r="D29" s="381">
        <v>144</v>
      </c>
      <c r="E29" s="69">
        <v>0</v>
      </c>
      <c r="F29" s="67">
        <v>0</v>
      </c>
      <c r="G29" s="67">
        <v>0</v>
      </c>
    </row>
    <row r="30" spans="1:7" ht="12.75">
      <c r="A30" s="67">
        <v>631</v>
      </c>
      <c r="B30" s="68" t="s">
        <v>103</v>
      </c>
      <c r="C30" s="67">
        <v>1170</v>
      </c>
      <c r="D30" s="381">
        <v>144</v>
      </c>
      <c r="E30" s="69">
        <v>0</v>
      </c>
      <c r="F30" s="67">
        <v>0</v>
      </c>
      <c r="G30" s="67">
        <v>0</v>
      </c>
    </row>
    <row r="31" spans="1:7" ht="12.75">
      <c r="A31" s="67">
        <v>632</v>
      </c>
      <c r="B31" s="68" t="s">
        <v>104</v>
      </c>
      <c r="C31" s="67">
        <v>941</v>
      </c>
      <c r="D31" s="381">
        <v>174</v>
      </c>
      <c r="E31" s="69">
        <v>0</v>
      </c>
      <c r="F31" s="67">
        <v>0</v>
      </c>
      <c r="G31" s="67">
        <v>0</v>
      </c>
    </row>
    <row r="32" spans="1:7" ht="12.75">
      <c r="A32" s="67">
        <v>633</v>
      </c>
      <c r="B32" s="68" t="s">
        <v>105</v>
      </c>
      <c r="C32" s="67">
        <v>941</v>
      </c>
      <c r="D32" s="381">
        <v>174</v>
      </c>
      <c r="E32" s="69">
        <v>0</v>
      </c>
      <c r="F32" s="67">
        <v>0</v>
      </c>
      <c r="G32" s="67">
        <v>0</v>
      </c>
    </row>
    <row r="33" spans="1:7" ht="12.75">
      <c r="A33" s="67">
        <v>634</v>
      </c>
      <c r="B33" s="68" t="s">
        <v>106</v>
      </c>
      <c r="C33" s="67">
        <v>971</v>
      </c>
      <c r="D33" s="381">
        <v>170</v>
      </c>
      <c r="E33" s="69">
        <v>0</v>
      </c>
      <c r="F33" s="67">
        <v>0</v>
      </c>
      <c r="G33" s="67">
        <v>0</v>
      </c>
    </row>
    <row r="34" spans="1:7" ht="12.75">
      <c r="A34" s="67">
        <v>636</v>
      </c>
      <c r="B34" s="68" t="s">
        <v>107</v>
      </c>
      <c r="C34" s="67">
        <v>971</v>
      </c>
      <c r="D34" s="381">
        <v>170</v>
      </c>
      <c r="E34" s="69">
        <v>0</v>
      </c>
      <c r="F34" s="67">
        <v>0</v>
      </c>
      <c r="G34" s="67">
        <v>0</v>
      </c>
    </row>
    <row r="35" spans="1:7" ht="12.75">
      <c r="A35" s="67">
        <v>637</v>
      </c>
      <c r="B35" s="68" t="s">
        <v>108</v>
      </c>
      <c r="C35" s="67">
        <v>971</v>
      </c>
      <c r="D35" s="381">
        <v>170</v>
      </c>
      <c r="E35" s="69">
        <v>0</v>
      </c>
      <c r="F35" s="67">
        <v>0</v>
      </c>
      <c r="G35" s="67">
        <v>0</v>
      </c>
    </row>
    <row r="36" spans="1:7" ht="12.75">
      <c r="A36" s="67">
        <v>638</v>
      </c>
      <c r="B36" s="68" t="s">
        <v>109</v>
      </c>
      <c r="C36" s="67">
        <v>906</v>
      </c>
      <c r="D36" s="381">
        <v>178</v>
      </c>
      <c r="E36" s="69">
        <v>0</v>
      </c>
      <c r="F36" s="67">
        <v>0</v>
      </c>
      <c r="G36" s="67">
        <v>0</v>
      </c>
    </row>
    <row r="37" spans="1:7" ht="12.75">
      <c r="A37" s="67">
        <v>639</v>
      </c>
      <c r="B37" s="68" t="s">
        <v>110</v>
      </c>
      <c r="C37" s="67">
        <v>1300</v>
      </c>
      <c r="D37" s="381">
        <v>127</v>
      </c>
      <c r="E37" s="69">
        <v>0</v>
      </c>
      <c r="F37" s="67">
        <v>0</v>
      </c>
      <c r="G37" s="67">
        <v>0</v>
      </c>
    </row>
    <row r="38" spans="1:7" ht="12.75">
      <c r="A38" s="67">
        <v>640</v>
      </c>
      <c r="B38" s="68" t="s">
        <v>111</v>
      </c>
      <c r="C38" s="67">
        <v>2830</v>
      </c>
      <c r="D38" s="381">
        <v>0</v>
      </c>
      <c r="E38" s="69">
        <v>0</v>
      </c>
      <c r="F38" s="67">
        <v>0</v>
      </c>
      <c r="G38" s="67">
        <v>0</v>
      </c>
    </row>
    <row r="39" spans="1:7" ht="12.75">
      <c r="A39" s="67">
        <v>641</v>
      </c>
      <c r="B39" s="68" t="s">
        <v>112</v>
      </c>
      <c r="C39" s="67">
        <v>1550</v>
      </c>
      <c r="D39" s="381">
        <v>94</v>
      </c>
      <c r="E39" s="69">
        <v>0</v>
      </c>
      <c r="F39" s="67">
        <v>0</v>
      </c>
      <c r="G39" s="67">
        <v>0</v>
      </c>
    </row>
    <row r="40" spans="1:7" ht="12.75">
      <c r="A40" s="67">
        <v>642</v>
      </c>
      <c r="B40" s="68" t="s">
        <v>113</v>
      </c>
      <c r="C40" s="67">
        <v>1170</v>
      </c>
      <c r="D40" s="381">
        <v>144</v>
      </c>
      <c r="E40" s="69">
        <v>0</v>
      </c>
      <c r="F40" s="67">
        <v>0</v>
      </c>
      <c r="G40" s="67">
        <v>0</v>
      </c>
    </row>
    <row r="41" spans="1:7" ht="12.75">
      <c r="A41" s="67">
        <v>643</v>
      </c>
      <c r="B41" s="68" t="s">
        <v>114</v>
      </c>
      <c r="C41" s="67">
        <v>1500</v>
      </c>
      <c r="D41" s="381">
        <v>101</v>
      </c>
      <c r="E41" s="69">
        <v>0</v>
      </c>
      <c r="F41" s="67">
        <v>0</v>
      </c>
      <c r="G41" s="67">
        <v>0</v>
      </c>
    </row>
    <row r="42" spans="1:7" ht="12.75">
      <c r="A42" s="67">
        <v>644</v>
      </c>
      <c r="B42" s="68" t="s">
        <v>115</v>
      </c>
      <c r="C42" s="67">
        <v>2490</v>
      </c>
      <c r="D42" s="381">
        <v>0</v>
      </c>
      <c r="E42" s="69">
        <v>0</v>
      </c>
      <c r="F42" s="67">
        <v>0</v>
      </c>
      <c r="G42" s="67">
        <v>0</v>
      </c>
    </row>
    <row r="43" spans="1:7" ht="12.75">
      <c r="A43" s="67">
        <v>645</v>
      </c>
      <c r="B43" s="68" t="s">
        <v>116</v>
      </c>
      <c r="C43" s="67">
        <v>2329</v>
      </c>
      <c r="D43" s="381">
        <v>0</v>
      </c>
      <c r="E43" s="69">
        <v>0</v>
      </c>
      <c r="F43" s="67">
        <v>0</v>
      </c>
      <c r="G43" s="67">
        <v>0</v>
      </c>
    </row>
    <row r="44" spans="1:7" ht="12.75">
      <c r="A44" s="67">
        <v>646</v>
      </c>
      <c r="B44" s="68" t="s">
        <v>117</v>
      </c>
      <c r="C44" s="67">
        <v>906</v>
      </c>
      <c r="D44" s="381">
        <v>178</v>
      </c>
      <c r="E44" s="69">
        <v>0</v>
      </c>
      <c r="F44" s="67">
        <v>0</v>
      </c>
      <c r="G44" s="67">
        <v>0</v>
      </c>
    </row>
    <row r="45" spans="1:7" ht="12.75">
      <c r="A45" s="67">
        <v>647</v>
      </c>
      <c r="B45" s="68" t="s">
        <v>118</v>
      </c>
      <c r="C45" s="67">
        <v>1830</v>
      </c>
      <c r="D45" s="381">
        <v>58</v>
      </c>
      <c r="E45" s="69">
        <v>0</v>
      </c>
      <c r="F45" s="67">
        <v>0</v>
      </c>
      <c r="G45" s="67">
        <v>0</v>
      </c>
    </row>
    <row r="46" spans="1:7" ht="12.75">
      <c r="A46" s="67">
        <v>648</v>
      </c>
      <c r="B46" s="68" t="s">
        <v>119</v>
      </c>
      <c r="C46" s="67">
        <v>1740</v>
      </c>
      <c r="D46" s="381">
        <v>70</v>
      </c>
      <c r="E46" s="69">
        <v>0</v>
      </c>
      <c r="F46" s="67">
        <v>0</v>
      </c>
      <c r="G46" s="67">
        <v>0</v>
      </c>
    </row>
    <row r="47" spans="1:7" ht="12.75">
      <c r="A47" s="67">
        <v>649</v>
      </c>
      <c r="B47" s="68" t="s">
        <v>120</v>
      </c>
      <c r="C47" s="67">
        <v>971</v>
      </c>
      <c r="D47" s="381">
        <v>170</v>
      </c>
      <c r="E47" s="69">
        <v>0</v>
      </c>
      <c r="F47" s="67">
        <v>0</v>
      </c>
      <c r="G47" s="67">
        <v>0</v>
      </c>
    </row>
    <row r="48" spans="1:7" ht="12.75">
      <c r="A48" s="67">
        <v>650</v>
      </c>
      <c r="B48" s="68" t="s">
        <v>121</v>
      </c>
      <c r="C48" s="67">
        <v>1740</v>
      </c>
      <c r="D48" s="381">
        <v>70</v>
      </c>
      <c r="E48" s="69">
        <v>0</v>
      </c>
      <c r="F48" s="67">
        <v>750</v>
      </c>
      <c r="G48" s="67">
        <v>0</v>
      </c>
    </row>
    <row r="49" spans="1:7" ht="12.75">
      <c r="A49" s="67">
        <v>651</v>
      </c>
      <c r="B49" s="68" t="s">
        <v>122</v>
      </c>
      <c r="C49" s="67">
        <v>971</v>
      </c>
      <c r="D49" s="381">
        <v>170</v>
      </c>
      <c r="E49" s="69">
        <v>0</v>
      </c>
      <c r="F49" s="67">
        <v>0</v>
      </c>
      <c r="G49" s="67">
        <v>0</v>
      </c>
    </row>
    <row r="50" spans="1:7" ht="12.75">
      <c r="A50" s="67">
        <v>652</v>
      </c>
      <c r="B50" s="68" t="s">
        <v>123</v>
      </c>
      <c r="C50" s="67">
        <v>1250</v>
      </c>
      <c r="D50" s="381">
        <v>134</v>
      </c>
      <c r="E50" s="69">
        <v>0</v>
      </c>
      <c r="F50" s="67">
        <v>0</v>
      </c>
      <c r="G50" s="67">
        <v>0</v>
      </c>
    </row>
    <row r="51" spans="1:7" ht="12.75">
      <c r="A51" s="67">
        <v>653</v>
      </c>
      <c r="B51" s="68" t="s">
        <v>124</v>
      </c>
      <c r="C51" s="67">
        <v>1400</v>
      </c>
      <c r="D51" s="381">
        <v>114</v>
      </c>
      <c r="E51" s="69">
        <v>0</v>
      </c>
      <c r="F51" s="67">
        <v>100</v>
      </c>
      <c r="G51" s="67">
        <v>0</v>
      </c>
    </row>
    <row r="52" spans="1:7" ht="12.75">
      <c r="A52" s="67">
        <v>654</v>
      </c>
      <c r="B52" s="68" t="s">
        <v>125</v>
      </c>
      <c r="C52" s="67">
        <v>1690</v>
      </c>
      <c r="D52" s="381">
        <v>76</v>
      </c>
      <c r="E52" s="69">
        <v>0</v>
      </c>
      <c r="F52" s="67">
        <v>300</v>
      </c>
      <c r="G52" s="67">
        <v>0</v>
      </c>
    </row>
    <row r="53" spans="1:7" ht="12.75">
      <c r="A53" s="67">
        <v>655</v>
      </c>
      <c r="B53" s="68" t="s">
        <v>126</v>
      </c>
      <c r="C53" s="67">
        <v>1550</v>
      </c>
      <c r="D53" s="381">
        <v>94</v>
      </c>
      <c r="E53" s="69">
        <v>0</v>
      </c>
      <c r="F53" s="67">
        <v>200</v>
      </c>
      <c r="G53" s="67">
        <v>0</v>
      </c>
    </row>
    <row r="54" spans="1:7" ht="12.75">
      <c r="A54" s="67">
        <v>657</v>
      </c>
      <c r="B54" s="68" t="s">
        <v>127</v>
      </c>
      <c r="C54" s="67">
        <v>1340</v>
      </c>
      <c r="D54" s="381">
        <v>122</v>
      </c>
      <c r="E54" s="69">
        <v>0</v>
      </c>
      <c r="F54" s="67">
        <v>0</v>
      </c>
      <c r="G54" s="67">
        <v>0</v>
      </c>
    </row>
    <row r="55" spans="1:7" ht="12.75">
      <c r="A55" s="67">
        <v>658</v>
      </c>
      <c r="B55" s="68" t="s">
        <v>128</v>
      </c>
      <c r="C55" s="67">
        <v>1300</v>
      </c>
      <c r="D55" s="381">
        <v>127</v>
      </c>
      <c r="E55" s="69">
        <v>0</v>
      </c>
      <c r="F55" s="67">
        <v>0</v>
      </c>
      <c r="G55" s="67">
        <v>0</v>
      </c>
    </row>
    <row r="56" spans="1:7" ht="12.75">
      <c r="A56" s="67">
        <v>659</v>
      </c>
      <c r="B56" s="68" t="s">
        <v>129</v>
      </c>
      <c r="C56" s="67">
        <v>1340</v>
      </c>
      <c r="D56" s="381">
        <v>122</v>
      </c>
      <c r="E56" s="69">
        <v>0</v>
      </c>
      <c r="F56" s="67">
        <v>0</v>
      </c>
      <c r="G56" s="67">
        <v>0</v>
      </c>
    </row>
    <row r="57" spans="1:7" ht="12.75">
      <c r="A57" s="67">
        <v>660</v>
      </c>
      <c r="B57" s="68" t="s">
        <v>130</v>
      </c>
      <c r="C57" s="67">
        <v>1300</v>
      </c>
      <c r="D57" s="381">
        <v>127</v>
      </c>
      <c r="E57" s="69">
        <v>0</v>
      </c>
      <c r="F57" s="67">
        <v>0</v>
      </c>
      <c r="G57" s="67">
        <v>0</v>
      </c>
    </row>
    <row r="58" spans="1:7" ht="12.75">
      <c r="A58" s="67">
        <v>661</v>
      </c>
      <c r="B58" s="68" t="s">
        <v>131</v>
      </c>
      <c r="C58" s="67">
        <v>1300</v>
      </c>
      <c r="D58" s="381">
        <v>127</v>
      </c>
      <c r="E58" s="69">
        <v>0</v>
      </c>
      <c r="F58" s="67">
        <v>0</v>
      </c>
      <c r="G58" s="67">
        <v>0</v>
      </c>
    </row>
    <row r="59" spans="1:7" ht="12.75">
      <c r="A59" s="67">
        <v>662</v>
      </c>
      <c r="B59" s="68" t="s">
        <v>132</v>
      </c>
      <c r="C59" s="67">
        <v>1690</v>
      </c>
      <c r="D59" s="381">
        <v>76</v>
      </c>
      <c r="E59" s="69">
        <v>0</v>
      </c>
      <c r="F59" s="67">
        <v>708</v>
      </c>
      <c r="G59" s="67">
        <v>0</v>
      </c>
    </row>
    <row r="60" spans="1:7" ht="12.75">
      <c r="A60" s="67">
        <v>663</v>
      </c>
      <c r="B60" s="68" t="s">
        <v>133</v>
      </c>
      <c r="C60" s="67">
        <v>1500</v>
      </c>
      <c r="D60" s="381">
        <v>101</v>
      </c>
      <c r="E60" s="69">
        <v>0</v>
      </c>
      <c r="F60" s="67">
        <v>0</v>
      </c>
      <c r="G60" s="67">
        <v>0</v>
      </c>
    </row>
    <row r="61" spans="1:7" ht="12.75">
      <c r="A61" s="67">
        <v>664</v>
      </c>
      <c r="B61" s="68" t="s">
        <v>134</v>
      </c>
      <c r="C61" s="67">
        <v>971</v>
      </c>
      <c r="D61" s="381">
        <v>170</v>
      </c>
      <c r="E61" s="69">
        <v>0</v>
      </c>
      <c r="F61" s="67">
        <v>620</v>
      </c>
      <c r="G61" s="67">
        <v>0</v>
      </c>
    </row>
    <row r="62" spans="1:7" ht="12.75">
      <c r="A62" s="67">
        <v>667</v>
      </c>
      <c r="B62" s="68" t="s">
        <v>135</v>
      </c>
      <c r="C62" s="67">
        <v>2000</v>
      </c>
      <c r="D62" s="381">
        <v>36</v>
      </c>
      <c r="E62" s="69">
        <v>0</v>
      </c>
      <c r="F62" s="67">
        <v>830</v>
      </c>
      <c r="G62" s="67">
        <v>0</v>
      </c>
    </row>
    <row r="63" spans="1:7" ht="12.75">
      <c r="A63" s="67">
        <v>668</v>
      </c>
      <c r="B63" s="68" t="s">
        <v>136</v>
      </c>
      <c r="C63" s="67">
        <v>1840</v>
      </c>
      <c r="D63" s="381">
        <v>57</v>
      </c>
      <c r="E63" s="69">
        <v>0</v>
      </c>
      <c r="F63" s="67">
        <v>830</v>
      </c>
      <c r="G63" s="67">
        <v>0</v>
      </c>
    </row>
    <row r="64" spans="1:7" ht="12.75">
      <c r="A64" s="67">
        <v>669</v>
      </c>
      <c r="B64" s="68" t="s">
        <v>137</v>
      </c>
      <c r="C64" s="67">
        <v>1680</v>
      </c>
      <c r="D64" s="381">
        <v>77</v>
      </c>
      <c r="E64" s="69">
        <v>0</v>
      </c>
      <c r="F64" s="67">
        <v>830</v>
      </c>
      <c r="G64" s="67">
        <v>0</v>
      </c>
    </row>
    <row r="65" spans="1:7" ht="12.75">
      <c r="A65" s="67">
        <v>670</v>
      </c>
      <c r="B65" s="68" t="s">
        <v>138</v>
      </c>
      <c r="C65" s="67">
        <v>1740</v>
      </c>
      <c r="D65" s="381">
        <v>70</v>
      </c>
      <c r="E65" s="69">
        <v>0</v>
      </c>
      <c r="F65" s="67">
        <v>750</v>
      </c>
      <c r="G65" s="67">
        <v>0</v>
      </c>
    </row>
    <row r="66" spans="1:7" ht="12.75">
      <c r="A66" s="67">
        <v>671</v>
      </c>
      <c r="B66" s="68" t="s">
        <v>139</v>
      </c>
      <c r="C66" s="67">
        <v>1610</v>
      </c>
      <c r="D66" s="381">
        <v>87</v>
      </c>
      <c r="E66" s="69">
        <v>0</v>
      </c>
      <c r="F66" s="67">
        <v>750</v>
      </c>
      <c r="G66" s="67">
        <v>0</v>
      </c>
    </row>
    <row r="67" spans="1:7" ht="12.75">
      <c r="A67" s="67">
        <v>672</v>
      </c>
      <c r="B67" s="68" t="s">
        <v>140</v>
      </c>
      <c r="C67" s="67">
        <v>2000</v>
      </c>
      <c r="D67" s="381">
        <v>36</v>
      </c>
      <c r="E67" s="69">
        <v>0</v>
      </c>
      <c r="F67" s="67">
        <v>300</v>
      </c>
      <c r="G67" s="67">
        <v>0</v>
      </c>
    </row>
    <row r="68" spans="1:7" ht="12.75">
      <c r="A68" s="67">
        <v>673</v>
      </c>
      <c r="B68" s="68" t="s">
        <v>141</v>
      </c>
      <c r="C68" s="67">
        <v>1840</v>
      </c>
      <c r="D68" s="381">
        <v>57</v>
      </c>
      <c r="E68" s="69">
        <v>0</v>
      </c>
      <c r="F68" s="67">
        <v>300</v>
      </c>
      <c r="G68" s="67">
        <v>0</v>
      </c>
    </row>
    <row r="69" spans="1:7" ht="12.75">
      <c r="A69" s="67">
        <v>674</v>
      </c>
      <c r="B69" s="68" t="s">
        <v>142</v>
      </c>
      <c r="C69" s="67">
        <v>1680</v>
      </c>
      <c r="D69" s="381">
        <v>77</v>
      </c>
      <c r="E69" s="69">
        <v>0</v>
      </c>
      <c r="F69" s="67">
        <v>300</v>
      </c>
      <c r="G69" s="67">
        <v>0</v>
      </c>
    </row>
    <row r="70" spans="1:7" ht="12.75">
      <c r="A70" s="67">
        <v>675</v>
      </c>
      <c r="B70" s="68" t="s">
        <v>143</v>
      </c>
      <c r="C70" s="67">
        <v>1740</v>
      </c>
      <c r="D70" s="381">
        <v>70</v>
      </c>
      <c r="E70" s="69">
        <v>0</v>
      </c>
      <c r="F70" s="67">
        <v>725</v>
      </c>
      <c r="G70" s="67">
        <v>0</v>
      </c>
    </row>
    <row r="71" spans="1:7" ht="12.75">
      <c r="A71" s="67">
        <v>676</v>
      </c>
      <c r="B71" s="68" t="s">
        <v>144</v>
      </c>
      <c r="C71" s="67">
        <v>1610</v>
      </c>
      <c r="D71" s="381">
        <v>87</v>
      </c>
      <c r="E71" s="69">
        <v>0</v>
      </c>
      <c r="F71" s="67">
        <v>725</v>
      </c>
      <c r="G71" s="67">
        <v>0</v>
      </c>
    </row>
    <row r="72" spans="1:7" ht="12.75">
      <c r="A72" s="67">
        <v>677</v>
      </c>
      <c r="B72" s="68" t="s">
        <v>145</v>
      </c>
      <c r="C72" s="67">
        <v>1500</v>
      </c>
      <c r="D72" s="381">
        <v>101</v>
      </c>
      <c r="E72" s="69">
        <v>0</v>
      </c>
      <c r="F72" s="67">
        <v>725</v>
      </c>
      <c r="G72" s="67">
        <v>0</v>
      </c>
    </row>
    <row r="73" spans="1:7" ht="12.75">
      <c r="A73" s="67">
        <v>678</v>
      </c>
      <c r="B73" s="68" t="s">
        <v>146</v>
      </c>
      <c r="C73" s="67">
        <v>1320</v>
      </c>
      <c r="D73" s="381">
        <v>124</v>
      </c>
      <c r="E73" s="69">
        <v>0</v>
      </c>
      <c r="F73" s="67">
        <v>590</v>
      </c>
      <c r="G73" s="67">
        <v>0</v>
      </c>
    </row>
    <row r="74" spans="1:7" ht="12.75">
      <c r="A74" s="67">
        <v>679</v>
      </c>
      <c r="B74" s="68" t="s">
        <v>147</v>
      </c>
      <c r="C74" s="67">
        <v>1690</v>
      </c>
      <c r="D74" s="381">
        <v>76</v>
      </c>
      <c r="E74" s="69">
        <v>0</v>
      </c>
      <c r="F74" s="67">
        <v>708</v>
      </c>
      <c r="G74" s="67">
        <v>0</v>
      </c>
    </row>
    <row r="75" spans="1:7" ht="12.75">
      <c r="A75" s="67">
        <v>680</v>
      </c>
      <c r="B75" s="68" t="s">
        <v>148</v>
      </c>
      <c r="C75" s="67">
        <v>1550</v>
      </c>
      <c r="D75" s="381">
        <v>94</v>
      </c>
      <c r="E75" s="69">
        <v>0</v>
      </c>
      <c r="F75" s="67">
        <v>708</v>
      </c>
      <c r="G75" s="67">
        <v>0</v>
      </c>
    </row>
    <row r="76" spans="1:7" ht="12.75">
      <c r="A76" s="67">
        <v>681</v>
      </c>
      <c r="B76" s="68" t="s">
        <v>149</v>
      </c>
      <c r="C76" s="67">
        <v>1400</v>
      </c>
      <c r="D76" s="381">
        <v>114</v>
      </c>
      <c r="E76" s="69">
        <v>0</v>
      </c>
      <c r="F76" s="67">
        <v>708</v>
      </c>
      <c r="G76" s="67">
        <v>0</v>
      </c>
    </row>
    <row r="77" spans="1:7" ht="12.75">
      <c r="A77" s="67">
        <v>682</v>
      </c>
      <c r="B77" s="70" t="s">
        <v>150</v>
      </c>
      <c r="C77" s="67">
        <v>1170</v>
      </c>
      <c r="D77" s="381">
        <v>144</v>
      </c>
      <c r="E77" s="69">
        <v>0</v>
      </c>
      <c r="F77" s="67">
        <v>580</v>
      </c>
      <c r="G77" s="67">
        <v>0</v>
      </c>
    </row>
    <row r="78" spans="1:7" ht="12.75">
      <c r="A78" s="67">
        <v>683</v>
      </c>
      <c r="B78" s="70" t="s">
        <v>151</v>
      </c>
      <c r="C78" s="67">
        <v>1170</v>
      </c>
      <c r="D78" s="381">
        <v>144</v>
      </c>
      <c r="E78" s="69">
        <v>0</v>
      </c>
      <c r="F78" s="67">
        <v>580</v>
      </c>
      <c r="G78" s="67">
        <v>0</v>
      </c>
    </row>
    <row r="79" spans="1:7" ht="12.75">
      <c r="A79" s="67">
        <v>684</v>
      </c>
      <c r="B79" s="68" t="s">
        <v>152</v>
      </c>
      <c r="C79" s="67">
        <v>1170</v>
      </c>
      <c r="D79" s="381">
        <v>144</v>
      </c>
      <c r="E79" s="69">
        <v>0</v>
      </c>
      <c r="F79" s="67">
        <v>580</v>
      </c>
      <c r="G79" s="67">
        <v>0</v>
      </c>
    </row>
    <row r="80" spans="1:7" ht="12.75">
      <c r="A80" s="67">
        <v>685</v>
      </c>
      <c r="B80" s="68" t="s">
        <v>153</v>
      </c>
      <c r="C80" s="67">
        <v>1500</v>
      </c>
      <c r="D80" s="381">
        <v>101</v>
      </c>
      <c r="E80" s="69">
        <v>0</v>
      </c>
      <c r="F80" s="67">
        <v>750</v>
      </c>
      <c r="G80" s="67">
        <v>0</v>
      </c>
    </row>
    <row r="81" spans="1:7" ht="12.75">
      <c r="A81" s="67">
        <v>686</v>
      </c>
      <c r="B81" s="68" t="s">
        <v>154</v>
      </c>
      <c r="C81" s="67">
        <v>2000</v>
      </c>
      <c r="D81" s="381">
        <v>36</v>
      </c>
      <c r="E81" s="69">
        <v>0</v>
      </c>
      <c r="F81" s="67">
        <v>600</v>
      </c>
      <c r="G81" s="67">
        <v>0</v>
      </c>
    </row>
    <row r="82" spans="1:7" ht="12.75">
      <c r="A82" s="67">
        <v>687</v>
      </c>
      <c r="B82" s="68" t="s">
        <v>155</v>
      </c>
      <c r="C82" s="67">
        <v>1840</v>
      </c>
      <c r="D82" s="381">
        <v>57</v>
      </c>
      <c r="E82" s="69">
        <v>0</v>
      </c>
      <c r="F82" s="67">
        <v>600</v>
      </c>
      <c r="G82" s="67">
        <v>0</v>
      </c>
    </row>
    <row r="83" spans="1:7" ht="12.75">
      <c r="A83" s="67">
        <v>688</v>
      </c>
      <c r="B83" s="68" t="s">
        <v>156</v>
      </c>
      <c r="C83" s="67">
        <v>1680</v>
      </c>
      <c r="D83" s="381">
        <v>77</v>
      </c>
      <c r="E83" s="69">
        <v>0</v>
      </c>
      <c r="F83" s="67">
        <v>600</v>
      </c>
      <c r="G83" s="67">
        <v>0</v>
      </c>
    </row>
    <row r="84" spans="1:7" ht="12.75">
      <c r="A84" s="67">
        <v>689</v>
      </c>
      <c r="B84" s="70" t="s">
        <v>157</v>
      </c>
      <c r="C84" s="67">
        <v>1170</v>
      </c>
      <c r="D84" s="381">
        <v>144</v>
      </c>
      <c r="E84" s="69">
        <v>0</v>
      </c>
      <c r="F84" s="67">
        <v>580</v>
      </c>
      <c r="G84" s="67">
        <v>0</v>
      </c>
    </row>
    <row r="85" spans="1:7" ht="12.75">
      <c r="A85" s="67">
        <v>691</v>
      </c>
      <c r="B85" s="68" t="s">
        <v>158</v>
      </c>
      <c r="C85" s="67">
        <v>1500</v>
      </c>
      <c r="D85" s="381">
        <v>101</v>
      </c>
      <c r="E85" s="69">
        <v>0</v>
      </c>
      <c r="F85" s="67">
        <v>750</v>
      </c>
      <c r="G85" s="67">
        <v>0</v>
      </c>
    </row>
    <row r="86" spans="1:7" ht="12.75">
      <c r="A86" s="67">
        <v>692</v>
      </c>
      <c r="B86" s="68" t="s">
        <v>159</v>
      </c>
      <c r="C86" s="67">
        <v>1690</v>
      </c>
      <c r="D86" s="381">
        <v>76</v>
      </c>
      <c r="E86" s="69">
        <v>0</v>
      </c>
      <c r="F86" s="67">
        <v>620</v>
      </c>
      <c r="G86" s="67">
        <v>0</v>
      </c>
    </row>
    <row r="87" spans="1:7" ht="12.75">
      <c r="A87" s="67">
        <v>693</v>
      </c>
      <c r="B87" s="68" t="s">
        <v>160</v>
      </c>
      <c r="C87" s="67">
        <v>1550</v>
      </c>
      <c r="D87" s="381">
        <v>94</v>
      </c>
      <c r="E87" s="69">
        <v>0</v>
      </c>
      <c r="F87" s="67">
        <v>620</v>
      </c>
      <c r="G87" s="67">
        <v>0</v>
      </c>
    </row>
    <row r="88" spans="1:7" ht="12.75">
      <c r="A88" s="67">
        <v>694</v>
      </c>
      <c r="B88" s="68" t="s">
        <v>161</v>
      </c>
      <c r="C88" s="67">
        <v>1400</v>
      </c>
      <c r="D88" s="381">
        <v>114</v>
      </c>
      <c r="E88" s="69">
        <v>0</v>
      </c>
      <c r="F88" s="67">
        <v>620</v>
      </c>
      <c r="G88" s="67">
        <v>0</v>
      </c>
    </row>
    <row r="89" spans="1:7" ht="12.75">
      <c r="A89" s="67">
        <v>695</v>
      </c>
      <c r="B89" s="68" t="s">
        <v>162</v>
      </c>
      <c r="C89" s="67">
        <v>906</v>
      </c>
      <c r="D89" s="381">
        <v>178</v>
      </c>
      <c r="E89" s="69">
        <v>0</v>
      </c>
      <c r="F89" s="67">
        <v>0</v>
      </c>
      <c r="G89" s="67">
        <v>0</v>
      </c>
    </row>
    <row r="90" spans="1:7" ht="12.75">
      <c r="A90" s="67">
        <v>696</v>
      </c>
      <c r="B90" s="68" t="s">
        <v>163</v>
      </c>
      <c r="C90" s="67">
        <v>1500</v>
      </c>
      <c r="D90" s="381">
        <v>101</v>
      </c>
      <c r="E90" s="69">
        <v>0</v>
      </c>
      <c r="F90" s="67">
        <v>0</v>
      </c>
      <c r="G90" s="67">
        <v>0</v>
      </c>
    </row>
    <row r="91" spans="1:7" ht="12.75">
      <c r="A91" s="67">
        <v>697</v>
      </c>
      <c r="B91" s="68" t="s">
        <v>164</v>
      </c>
      <c r="C91" s="67">
        <v>1500</v>
      </c>
      <c r="D91" s="381">
        <v>101</v>
      </c>
      <c r="E91" s="69">
        <v>0</v>
      </c>
      <c r="F91" s="67">
        <v>0</v>
      </c>
      <c r="G91" s="67">
        <v>0</v>
      </c>
    </row>
    <row r="92" spans="1:7" ht="12.75">
      <c r="A92" s="67">
        <v>698</v>
      </c>
      <c r="B92" s="68" t="s">
        <v>165</v>
      </c>
      <c r="C92" s="67">
        <v>1690</v>
      </c>
      <c r="D92" s="381">
        <v>76</v>
      </c>
      <c r="E92" s="69">
        <v>0</v>
      </c>
      <c r="F92" s="67">
        <v>0</v>
      </c>
      <c r="G92" s="67">
        <v>0</v>
      </c>
    </row>
    <row r="93" spans="1:7" ht="12.75">
      <c r="A93" s="67">
        <v>699</v>
      </c>
      <c r="B93" s="68" t="s">
        <v>166</v>
      </c>
      <c r="C93" s="67">
        <v>1550</v>
      </c>
      <c r="D93" s="381">
        <v>94</v>
      </c>
      <c r="E93" s="69">
        <v>0</v>
      </c>
      <c r="F93" s="67">
        <v>0</v>
      </c>
      <c r="G93" s="67">
        <v>0</v>
      </c>
    </row>
    <row r="94" spans="1:7" ht="12.75">
      <c r="A94" s="67">
        <v>702</v>
      </c>
      <c r="B94" s="68" t="s">
        <v>167</v>
      </c>
      <c r="C94" s="67">
        <v>971</v>
      </c>
      <c r="D94" s="381">
        <v>170</v>
      </c>
      <c r="E94" s="69">
        <v>0</v>
      </c>
      <c r="F94" s="67">
        <v>0</v>
      </c>
      <c r="G94" s="67">
        <v>0</v>
      </c>
    </row>
    <row r="95" spans="1:7" ht="12.75">
      <c r="A95" s="67">
        <v>703</v>
      </c>
      <c r="B95" s="68" t="s">
        <v>168</v>
      </c>
      <c r="C95" s="67">
        <v>3429</v>
      </c>
      <c r="D95" s="381">
        <v>0</v>
      </c>
      <c r="E95" s="69">
        <v>0</v>
      </c>
      <c r="F95" s="67">
        <v>0</v>
      </c>
      <c r="G95" s="67">
        <v>0</v>
      </c>
    </row>
    <row r="96" spans="1:7" ht="12.75">
      <c r="A96" s="67">
        <v>704</v>
      </c>
      <c r="B96" s="68" t="s">
        <v>169</v>
      </c>
      <c r="C96" s="67">
        <v>1500</v>
      </c>
      <c r="D96" s="381">
        <v>101</v>
      </c>
      <c r="E96" s="69">
        <v>0</v>
      </c>
      <c r="F96" s="67">
        <v>0</v>
      </c>
      <c r="G96" s="67">
        <v>0</v>
      </c>
    </row>
    <row r="97" spans="1:7" ht="12.75">
      <c r="A97" s="67">
        <v>705</v>
      </c>
      <c r="B97" s="68" t="s">
        <v>170</v>
      </c>
      <c r="C97" s="67">
        <v>1592</v>
      </c>
      <c r="D97" s="381">
        <v>89</v>
      </c>
      <c r="E97" s="69">
        <v>0</v>
      </c>
      <c r="F97" s="67">
        <v>0</v>
      </c>
      <c r="G97" s="67">
        <v>0</v>
      </c>
    </row>
    <row r="98" spans="1:7" ht="12.75">
      <c r="A98" s="67">
        <v>706</v>
      </c>
      <c r="B98" s="68" t="s">
        <v>171</v>
      </c>
      <c r="C98" s="67">
        <v>2482</v>
      </c>
      <c r="D98" s="381">
        <v>0</v>
      </c>
      <c r="E98" s="69">
        <v>0</v>
      </c>
      <c r="F98" s="67">
        <v>0</v>
      </c>
      <c r="G98" s="67">
        <v>0</v>
      </c>
    </row>
    <row r="99" spans="1:7" ht="12.75">
      <c r="A99" s="67">
        <v>708</v>
      </c>
      <c r="B99" s="68" t="s">
        <v>172</v>
      </c>
      <c r="C99" s="67">
        <v>3146</v>
      </c>
      <c r="D99" s="381">
        <v>0</v>
      </c>
      <c r="E99" s="69">
        <v>0</v>
      </c>
      <c r="F99" s="67">
        <v>0</v>
      </c>
      <c r="G99" s="67">
        <v>0</v>
      </c>
    </row>
    <row r="100" spans="1:7" ht="12.75">
      <c r="A100" s="67">
        <v>709</v>
      </c>
      <c r="B100" s="68" t="s">
        <v>173</v>
      </c>
      <c r="C100" s="67">
        <v>2913</v>
      </c>
      <c r="D100" s="381">
        <v>0</v>
      </c>
      <c r="E100" s="69">
        <v>0</v>
      </c>
      <c r="F100" s="67">
        <v>0</v>
      </c>
      <c r="G100" s="67">
        <v>0</v>
      </c>
    </row>
    <row r="101" spans="1:7" ht="12.75">
      <c r="A101" s="67">
        <v>710</v>
      </c>
      <c r="B101" s="68" t="s">
        <v>174</v>
      </c>
      <c r="C101" s="67">
        <v>2913</v>
      </c>
      <c r="D101" s="381">
        <v>0</v>
      </c>
      <c r="E101" s="69">
        <v>20</v>
      </c>
      <c r="F101" s="67">
        <v>0</v>
      </c>
      <c r="G101" s="67">
        <v>0</v>
      </c>
    </row>
    <row r="102" spans="1:7" ht="12.75">
      <c r="A102" s="67">
        <v>711</v>
      </c>
      <c r="B102" s="68" t="s">
        <v>175</v>
      </c>
      <c r="C102" s="67">
        <v>2913</v>
      </c>
      <c r="D102" s="381">
        <v>0</v>
      </c>
      <c r="E102" s="69">
        <v>0</v>
      </c>
      <c r="F102" s="67">
        <v>0</v>
      </c>
      <c r="G102" s="67">
        <v>0</v>
      </c>
    </row>
    <row r="103" spans="1:7" ht="12.75">
      <c r="A103" s="67">
        <v>712</v>
      </c>
      <c r="B103" s="68" t="s">
        <v>176</v>
      </c>
      <c r="C103" s="67">
        <v>2913</v>
      </c>
      <c r="D103" s="381">
        <v>0</v>
      </c>
      <c r="E103" s="69">
        <v>0</v>
      </c>
      <c r="F103" s="67">
        <v>0</v>
      </c>
      <c r="G103" s="67">
        <v>0</v>
      </c>
    </row>
    <row r="104" spans="1:7" ht="12.75">
      <c r="A104" s="67">
        <v>713</v>
      </c>
      <c r="B104" s="68" t="s">
        <v>177</v>
      </c>
      <c r="C104" s="67">
        <v>2913</v>
      </c>
      <c r="D104" s="381">
        <v>0</v>
      </c>
      <c r="E104" s="69">
        <v>0</v>
      </c>
      <c r="F104" s="67">
        <v>0</v>
      </c>
      <c r="G104" s="67">
        <v>0</v>
      </c>
    </row>
    <row r="105" spans="1:7" ht="12.75">
      <c r="A105" s="67">
        <v>714</v>
      </c>
      <c r="B105" s="68" t="s">
        <v>178</v>
      </c>
      <c r="C105" s="67">
        <v>2913</v>
      </c>
      <c r="D105" s="381">
        <v>0</v>
      </c>
      <c r="E105" s="69">
        <v>0</v>
      </c>
      <c r="F105" s="67">
        <v>0</v>
      </c>
      <c r="G105" s="67">
        <v>0</v>
      </c>
    </row>
    <row r="106" spans="1:7" ht="12.75">
      <c r="A106" s="67">
        <v>715</v>
      </c>
      <c r="B106" s="68" t="s">
        <v>179</v>
      </c>
      <c r="C106" s="67">
        <v>1912</v>
      </c>
      <c r="D106" s="381">
        <v>47</v>
      </c>
      <c r="E106" s="69">
        <v>0</v>
      </c>
      <c r="F106" s="67">
        <v>42</v>
      </c>
      <c r="G106" s="67">
        <v>0</v>
      </c>
    </row>
    <row r="107" spans="1:7" ht="12.75">
      <c r="A107" s="67">
        <v>716</v>
      </c>
      <c r="B107" s="68" t="s">
        <v>180</v>
      </c>
      <c r="C107" s="67">
        <v>1942</v>
      </c>
      <c r="D107" s="381">
        <v>43</v>
      </c>
      <c r="E107" s="69">
        <v>0</v>
      </c>
      <c r="F107" s="67">
        <v>0</v>
      </c>
      <c r="G107" s="67">
        <v>0</v>
      </c>
    </row>
    <row r="108" spans="1:7" ht="12.75">
      <c r="A108" s="67">
        <v>717</v>
      </c>
      <c r="B108" s="68" t="s">
        <v>181</v>
      </c>
      <c r="C108" s="67">
        <v>2100</v>
      </c>
      <c r="D108" s="381">
        <v>23</v>
      </c>
      <c r="E108" s="69">
        <v>150</v>
      </c>
      <c r="F108" s="67">
        <v>0</v>
      </c>
      <c r="G108" s="67">
        <v>0</v>
      </c>
    </row>
    <row r="109" spans="1:7" ht="12.75">
      <c r="A109" s="67">
        <v>718</v>
      </c>
      <c r="B109" s="68" t="s">
        <v>182</v>
      </c>
      <c r="C109" s="67">
        <v>1942</v>
      </c>
      <c r="D109" s="381">
        <v>43</v>
      </c>
      <c r="E109" s="69">
        <v>17</v>
      </c>
      <c r="F109" s="67">
        <v>0</v>
      </c>
      <c r="G109" s="67">
        <v>0</v>
      </c>
    </row>
    <row r="110" spans="1:7" ht="12.75">
      <c r="A110" s="67">
        <v>719</v>
      </c>
      <c r="B110" s="68" t="s">
        <v>183</v>
      </c>
      <c r="C110" s="67">
        <v>1782</v>
      </c>
      <c r="D110" s="381">
        <v>64</v>
      </c>
      <c r="E110" s="69">
        <v>0</v>
      </c>
      <c r="F110" s="67">
        <v>0</v>
      </c>
      <c r="G110" s="67">
        <v>0</v>
      </c>
    </row>
    <row r="111" spans="1:7" ht="12.75">
      <c r="A111" s="67">
        <v>720</v>
      </c>
      <c r="B111" s="68" t="s">
        <v>184</v>
      </c>
      <c r="C111" s="67">
        <v>1782</v>
      </c>
      <c r="D111" s="381">
        <v>64</v>
      </c>
      <c r="E111" s="69">
        <v>17</v>
      </c>
      <c r="F111" s="67">
        <v>0</v>
      </c>
      <c r="G111" s="67">
        <v>0</v>
      </c>
    </row>
    <row r="112" spans="1:7" ht="12.75">
      <c r="A112" s="67">
        <v>721</v>
      </c>
      <c r="B112" s="68" t="s">
        <v>185</v>
      </c>
      <c r="C112" s="67">
        <v>1942</v>
      </c>
      <c r="D112" s="381">
        <v>43</v>
      </c>
      <c r="E112" s="69">
        <v>150</v>
      </c>
      <c r="F112" s="67">
        <v>0</v>
      </c>
      <c r="G112" s="67">
        <v>0</v>
      </c>
    </row>
    <row r="113" spans="1:7" ht="12.75">
      <c r="A113" s="67">
        <v>722</v>
      </c>
      <c r="B113" s="68" t="s">
        <v>186</v>
      </c>
      <c r="C113" s="67">
        <v>1692</v>
      </c>
      <c r="D113" s="381">
        <v>76</v>
      </c>
      <c r="E113" s="69">
        <v>0</v>
      </c>
      <c r="F113" s="67">
        <v>0</v>
      </c>
      <c r="G113" s="67">
        <v>0</v>
      </c>
    </row>
    <row r="114" spans="1:7" ht="12.75">
      <c r="A114" s="67">
        <v>723</v>
      </c>
      <c r="B114" s="68" t="s">
        <v>187</v>
      </c>
      <c r="C114" s="67">
        <v>1700</v>
      </c>
      <c r="D114" s="381">
        <v>75</v>
      </c>
      <c r="E114" s="69">
        <v>0</v>
      </c>
      <c r="F114" s="67">
        <v>0</v>
      </c>
      <c r="G114" s="67">
        <v>0</v>
      </c>
    </row>
    <row r="115" spans="1:7" ht="12.75">
      <c r="A115" s="67">
        <v>724</v>
      </c>
      <c r="B115" s="68" t="s">
        <v>188</v>
      </c>
      <c r="C115" s="67">
        <v>1942</v>
      </c>
      <c r="D115" s="381">
        <v>43</v>
      </c>
      <c r="E115" s="69">
        <v>150</v>
      </c>
      <c r="F115" s="67">
        <v>0</v>
      </c>
      <c r="G115" s="67">
        <v>0</v>
      </c>
    </row>
    <row r="116" spans="1:7" ht="12.75">
      <c r="A116" s="67">
        <v>725</v>
      </c>
      <c r="B116" s="68" t="s">
        <v>189</v>
      </c>
      <c r="C116" s="67">
        <v>1592</v>
      </c>
      <c r="D116" s="381">
        <v>89</v>
      </c>
      <c r="E116" s="69">
        <v>0</v>
      </c>
      <c r="F116" s="67">
        <v>0</v>
      </c>
      <c r="G116" s="67">
        <v>0</v>
      </c>
    </row>
    <row r="117" spans="1:7" ht="12.75">
      <c r="A117" s="67">
        <v>726</v>
      </c>
      <c r="B117" s="68" t="s">
        <v>190</v>
      </c>
      <c r="C117" s="67">
        <v>1500</v>
      </c>
      <c r="D117" s="381">
        <v>101</v>
      </c>
      <c r="E117" s="69">
        <v>150</v>
      </c>
      <c r="F117" s="67">
        <v>0</v>
      </c>
      <c r="G117" s="67">
        <v>0</v>
      </c>
    </row>
    <row r="118" spans="1:7" ht="12.75">
      <c r="A118" s="71">
        <v>727</v>
      </c>
      <c r="B118" s="72" t="s">
        <v>191</v>
      </c>
      <c r="C118" s="71">
        <v>1600</v>
      </c>
      <c r="D118" s="381">
        <v>88</v>
      </c>
      <c r="E118" s="73">
        <v>0</v>
      </c>
      <c r="F118" s="71">
        <v>0</v>
      </c>
      <c r="G118" s="71">
        <v>0</v>
      </c>
    </row>
    <row r="119" spans="1:7" ht="12.75">
      <c r="A119" s="67">
        <v>728</v>
      </c>
      <c r="B119" s="68" t="s">
        <v>192</v>
      </c>
      <c r="C119" s="67">
        <v>1360</v>
      </c>
      <c r="D119" s="381">
        <v>120</v>
      </c>
      <c r="E119" s="69">
        <v>17</v>
      </c>
      <c r="F119" s="67">
        <v>0</v>
      </c>
      <c r="G119" s="67">
        <v>0</v>
      </c>
    </row>
    <row r="120" spans="1:7" ht="12.75">
      <c r="A120" s="67">
        <v>729</v>
      </c>
      <c r="B120" s="68" t="s">
        <v>193</v>
      </c>
      <c r="C120" s="67">
        <v>1692</v>
      </c>
      <c r="D120" s="381">
        <v>76</v>
      </c>
      <c r="E120" s="69">
        <v>0</v>
      </c>
      <c r="F120" s="67">
        <v>0</v>
      </c>
      <c r="G120" s="67">
        <v>0</v>
      </c>
    </row>
    <row r="121" spans="1:7" ht="12.75">
      <c r="A121" s="67">
        <v>730</v>
      </c>
      <c r="B121" s="68" t="s">
        <v>194</v>
      </c>
      <c r="C121" s="67">
        <v>1700</v>
      </c>
      <c r="D121" s="381">
        <v>75</v>
      </c>
      <c r="E121" s="69">
        <v>0</v>
      </c>
      <c r="F121" s="67">
        <v>0</v>
      </c>
      <c r="G121" s="67">
        <v>0</v>
      </c>
    </row>
    <row r="122" spans="1:7" ht="12.75">
      <c r="A122" s="67">
        <v>731</v>
      </c>
      <c r="B122" s="68" t="s">
        <v>195</v>
      </c>
      <c r="C122" s="67">
        <v>1592</v>
      </c>
      <c r="D122" s="381">
        <v>89</v>
      </c>
      <c r="E122" s="69">
        <v>0</v>
      </c>
      <c r="F122" s="67">
        <v>0</v>
      </c>
      <c r="G122" s="67">
        <v>0</v>
      </c>
    </row>
    <row r="123" spans="1:7" ht="12.75">
      <c r="A123" s="67">
        <v>732</v>
      </c>
      <c r="B123" s="68" t="s">
        <v>196</v>
      </c>
      <c r="C123" s="67">
        <v>971</v>
      </c>
      <c r="D123" s="381">
        <v>170</v>
      </c>
      <c r="E123" s="69">
        <v>150</v>
      </c>
      <c r="F123" s="67">
        <v>0</v>
      </c>
      <c r="G123" s="67">
        <v>0</v>
      </c>
    </row>
    <row r="124" spans="1:7" ht="12.75">
      <c r="A124" s="67">
        <v>733</v>
      </c>
      <c r="B124" s="68" t="s">
        <v>197</v>
      </c>
      <c r="C124" s="67">
        <v>1150</v>
      </c>
      <c r="D124" s="381">
        <v>147</v>
      </c>
      <c r="E124" s="69">
        <v>0</v>
      </c>
      <c r="F124" s="67">
        <v>0</v>
      </c>
      <c r="G124" s="67">
        <v>0</v>
      </c>
    </row>
    <row r="125" spans="1:7" ht="12.75">
      <c r="A125" s="67">
        <v>734</v>
      </c>
      <c r="B125" s="68" t="s">
        <v>198</v>
      </c>
      <c r="C125" s="67">
        <v>1500</v>
      </c>
      <c r="D125" s="381">
        <v>101</v>
      </c>
      <c r="E125" s="69">
        <v>150</v>
      </c>
      <c r="F125" s="67">
        <v>0</v>
      </c>
      <c r="G125" s="67">
        <v>0</v>
      </c>
    </row>
    <row r="126" spans="1:7" ht="12.75">
      <c r="A126" s="67">
        <v>735</v>
      </c>
      <c r="B126" s="68" t="s">
        <v>199</v>
      </c>
      <c r="C126" s="67">
        <v>971</v>
      </c>
      <c r="D126" s="381">
        <v>170</v>
      </c>
      <c r="E126" s="69">
        <v>150</v>
      </c>
      <c r="F126" s="67">
        <v>0</v>
      </c>
      <c r="G126" s="67">
        <v>0</v>
      </c>
    </row>
    <row r="127" spans="1:7" ht="12.75">
      <c r="A127" s="67">
        <v>736</v>
      </c>
      <c r="B127" s="68" t="s">
        <v>200</v>
      </c>
      <c r="C127" s="67">
        <v>1600</v>
      </c>
      <c r="D127" s="381">
        <v>88</v>
      </c>
      <c r="E127" s="69">
        <v>0</v>
      </c>
      <c r="F127" s="67">
        <v>0</v>
      </c>
      <c r="G127" s="67">
        <v>0</v>
      </c>
    </row>
    <row r="128" spans="1:7" ht="12.75">
      <c r="A128" s="67">
        <v>737</v>
      </c>
      <c r="B128" s="68" t="s">
        <v>201</v>
      </c>
      <c r="C128" s="67">
        <v>971</v>
      </c>
      <c r="D128" s="381">
        <v>170</v>
      </c>
      <c r="E128" s="69">
        <v>150</v>
      </c>
      <c r="F128" s="67">
        <v>0</v>
      </c>
      <c r="G128" s="67">
        <v>0</v>
      </c>
    </row>
    <row r="129" spans="1:7" ht="12.75">
      <c r="A129" s="67">
        <v>738</v>
      </c>
      <c r="B129" s="68" t="s">
        <v>202</v>
      </c>
      <c r="C129" s="67">
        <v>971</v>
      </c>
      <c r="D129" s="381">
        <v>170</v>
      </c>
      <c r="E129" s="69">
        <v>17</v>
      </c>
      <c r="F129" s="67">
        <v>0</v>
      </c>
      <c r="G129" s="67">
        <v>0</v>
      </c>
    </row>
    <row r="130" spans="1:7" ht="12.75">
      <c r="A130" s="67">
        <v>739</v>
      </c>
      <c r="B130" s="68" t="s">
        <v>203</v>
      </c>
      <c r="C130" s="67">
        <v>971</v>
      </c>
      <c r="D130" s="381">
        <v>170</v>
      </c>
      <c r="E130" s="69">
        <v>150</v>
      </c>
      <c r="F130" s="67">
        <v>0</v>
      </c>
      <c r="G130" s="67">
        <v>0</v>
      </c>
    </row>
    <row r="131" spans="1:7" ht="12.75">
      <c r="A131" s="67">
        <v>740</v>
      </c>
      <c r="B131" s="68" t="s">
        <v>204</v>
      </c>
      <c r="C131" s="67">
        <v>971</v>
      </c>
      <c r="D131" s="381">
        <v>170</v>
      </c>
      <c r="E131" s="69">
        <v>150</v>
      </c>
      <c r="F131" s="67">
        <v>0</v>
      </c>
      <c r="G131" s="67">
        <v>0</v>
      </c>
    </row>
    <row r="132" spans="1:7" ht="12.75">
      <c r="A132" s="67">
        <v>741</v>
      </c>
      <c r="B132" s="68" t="s">
        <v>205</v>
      </c>
      <c r="C132" s="67">
        <v>1300</v>
      </c>
      <c r="D132" s="381">
        <v>127</v>
      </c>
      <c r="E132" s="69">
        <v>0</v>
      </c>
      <c r="F132" s="67">
        <v>0</v>
      </c>
      <c r="G132" s="67">
        <v>0</v>
      </c>
    </row>
    <row r="133" spans="1:7" ht="12.75">
      <c r="A133" s="67">
        <v>742</v>
      </c>
      <c r="B133" s="68" t="s">
        <v>206</v>
      </c>
      <c r="C133" s="67">
        <v>971</v>
      </c>
      <c r="D133" s="381">
        <v>170</v>
      </c>
      <c r="E133" s="69">
        <v>150</v>
      </c>
      <c r="F133" s="67">
        <v>0</v>
      </c>
      <c r="G133" s="67">
        <v>0</v>
      </c>
    </row>
    <row r="134" spans="1:7" ht="12.75">
      <c r="A134" s="74">
        <v>743</v>
      </c>
      <c r="B134" s="75" t="s">
        <v>207</v>
      </c>
      <c r="C134" s="74">
        <v>971</v>
      </c>
      <c r="D134" s="381">
        <v>170</v>
      </c>
      <c r="E134" s="76">
        <v>17</v>
      </c>
      <c r="F134" s="74">
        <v>0</v>
      </c>
      <c r="G134" s="74">
        <v>0</v>
      </c>
    </row>
    <row r="135" spans="1:7" ht="12.75">
      <c r="A135" s="67">
        <v>744</v>
      </c>
      <c r="B135" s="68" t="s">
        <v>208</v>
      </c>
      <c r="C135" s="67">
        <v>1400</v>
      </c>
      <c r="D135" s="381">
        <v>114</v>
      </c>
      <c r="E135" s="69">
        <v>0</v>
      </c>
      <c r="F135" s="67">
        <v>0</v>
      </c>
      <c r="G135" s="67">
        <v>0</v>
      </c>
    </row>
    <row r="136" spans="1:7" ht="12.75">
      <c r="A136" s="67">
        <v>745</v>
      </c>
      <c r="B136" s="68" t="s">
        <v>209</v>
      </c>
      <c r="C136" s="67">
        <v>1450</v>
      </c>
      <c r="D136" s="381">
        <v>107</v>
      </c>
      <c r="E136" s="69">
        <v>0</v>
      </c>
      <c r="F136" s="67">
        <v>0</v>
      </c>
      <c r="G136" s="67">
        <v>0</v>
      </c>
    </row>
    <row r="137" spans="1:7" ht="12.75">
      <c r="A137" s="67">
        <v>746</v>
      </c>
      <c r="B137" s="68" t="s">
        <v>210</v>
      </c>
      <c r="C137" s="67">
        <v>971</v>
      </c>
      <c r="D137" s="381">
        <v>170</v>
      </c>
      <c r="E137" s="69">
        <v>150</v>
      </c>
      <c r="F137" s="67">
        <v>0</v>
      </c>
      <c r="G137" s="67">
        <v>0</v>
      </c>
    </row>
    <row r="138" spans="1:7" ht="12.75">
      <c r="A138" s="67">
        <v>747</v>
      </c>
      <c r="B138" s="68" t="s">
        <v>211</v>
      </c>
      <c r="C138" s="67">
        <v>971</v>
      </c>
      <c r="D138" s="381">
        <v>170</v>
      </c>
      <c r="E138" s="69">
        <v>0</v>
      </c>
      <c r="F138" s="67">
        <v>0</v>
      </c>
      <c r="G138" s="67">
        <v>0</v>
      </c>
    </row>
    <row r="139" spans="1:7" ht="12.75">
      <c r="A139" s="67">
        <v>748</v>
      </c>
      <c r="B139" s="68" t="s">
        <v>212</v>
      </c>
      <c r="C139" s="67">
        <v>1250</v>
      </c>
      <c r="D139" s="381">
        <v>134</v>
      </c>
      <c r="E139" s="69">
        <v>0</v>
      </c>
      <c r="F139" s="67">
        <v>0</v>
      </c>
      <c r="G139" s="67">
        <v>0</v>
      </c>
    </row>
    <row r="140" spans="1:7" ht="12.75">
      <c r="A140" s="67">
        <v>749</v>
      </c>
      <c r="B140" s="68" t="s">
        <v>106</v>
      </c>
      <c r="C140" s="67">
        <v>971</v>
      </c>
      <c r="D140" s="381">
        <v>170</v>
      </c>
      <c r="E140" s="69">
        <v>0</v>
      </c>
      <c r="F140" s="67">
        <v>0</v>
      </c>
      <c r="G140" s="67">
        <v>0</v>
      </c>
    </row>
    <row r="141" spans="1:7" ht="12.75">
      <c r="A141" s="67">
        <v>750</v>
      </c>
      <c r="B141" s="68" t="s">
        <v>105</v>
      </c>
      <c r="C141" s="67">
        <v>971</v>
      </c>
      <c r="D141" s="381">
        <v>170</v>
      </c>
      <c r="E141" s="69">
        <v>0</v>
      </c>
      <c r="F141" s="67">
        <v>0</v>
      </c>
      <c r="G141" s="67">
        <v>0</v>
      </c>
    </row>
    <row r="142" spans="1:7" ht="12.75">
      <c r="A142" s="67">
        <v>751</v>
      </c>
      <c r="B142" s="68" t="s">
        <v>213</v>
      </c>
      <c r="C142" s="67">
        <v>1500</v>
      </c>
      <c r="D142" s="381">
        <v>101</v>
      </c>
      <c r="E142" s="69">
        <v>150</v>
      </c>
      <c r="F142" s="67">
        <v>0</v>
      </c>
      <c r="G142" s="67">
        <v>0</v>
      </c>
    </row>
    <row r="143" spans="1:7" ht="12.75">
      <c r="A143" s="67">
        <v>752</v>
      </c>
      <c r="B143" s="68" t="s">
        <v>214</v>
      </c>
      <c r="C143" s="67">
        <v>2913</v>
      </c>
      <c r="D143" s="381">
        <v>0</v>
      </c>
      <c r="E143" s="69">
        <v>20</v>
      </c>
      <c r="F143" s="67">
        <v>0</v>
      </c>
      <c r="G143" s="67">
        <v>0</v>
      </c>
    </row>
    <row r="144" spans="1:7" ht="12.75">
      <c r="A144" s="67">
        <v>753</v>
      </c>
      <c r="B144" s="68" t="s">
        <v>215</v>
      </c>
      <c r="C144" s="67">
        <v>1942</v>
      </c>
      <c r="D144" s="381">
        <v>43</v>
      </c>
      <c r="E144" s="69">
        <v>150</v>
      </c>
      <c r="F144" s="67">
        <v>0</v>
      </c>
      <c r="G144" s="67">
        <v>0</v>
      </c>
    </row>
    <row r="145" spans="1:7" ht="12.75">
      <c r="A145" s="67">
        <v>754</v>
      </c>
      <c r="B145" s="68" t="s">
        <v>216</v>
      </c>
      <c r="C145" s="67">
        <v>971</v>
      </c>
      <c r="D145" s="381">
        <v>170</v>
      </c>
      <c r="E145" s="69">
        <v>0</v>
      </c>
      <c r="F145" s="67">
        <v>0</v>
      </c>
      <c r="G145" s="67">
        <v>0</v>
      </c>
    </row>
    <row r="146" spans="1:7" ht="12.75">
      <c r="A146" s="67">
        <v>755</v>
      </c>
      <c r="B146" s="68" t="s">
        <v>217</v>
      </c>
      <c r="C146" s="67">
        <v>971</v>
      </c>
      <c r="D146" s="381">
        <v>170</v>
      </c>
      <c r="E146" s="69">
        <v>0</v>
      </c>
      <c r="F146" s="67">
        <v>0</v>
      </c>
      <c r="G146" s="67">
        <v>0</v>
      </c>
    </row>
    <row r="147" spans="1:7" ht="12.75">
      <c r="A147" s="67">
        <v>756</v>
      </c>
      <c r="B147" s="68" t="s">
        <v>218</v>
      </c>
      <c r="C147" s="67">
        <v>1290</v>
      </c>
      <c r="D147" s="381">
        <v>128</v>
      </c>
      <c r="E147" s="69">
        <v>0</v>
      </c>
      <c r="F147" s="67">
        <v>0</v>
      </c>
      <c r="G147" s="67">
        <v>0</v>
      </c>
    </row>
    <row r="148" spans="1:7" ht="12.75">
      <c r="A148" s="67">
        <v>757</v>
      </c>
      <c r="B148" s="68" t="s">
        <v>219</v>
      </c>
      <c r="C148" s="67">
        <v>971</v>
      </c>
      <c r="D148" s="381">
        <v>170</v>
      </c>
      <c r="E148" s="69">
        <v>0</v>
      </c>
      <c r="F148" s="67">
        <v>0</v>
      </c>
      <c r="G148" s="67">
        <v>0</v>
      </c>
    </row>
    <row r="149" spans="1:7" ht="12.75">
      <c r="A149" s="67">
        <v>758</v>
      </c>
      <c r="B149" s="68" t="s">
        <v>220</v>
      </c>
      <c r="C149" s="67">
        <v>971</v>
      </c>
      <c r="D149" s="381">
        <v>170</v>
      </c>
      <c r="E149" s="69">
        <v>0</v>
      </c>
      <c r="F149" s="67">
        <v>0</v>
      </c>
      <c r="G149" s="67">
        <v>0</v>
      </c>
    </row>
    <row r="150" spans="1:7" ht="12.75">
      <c r="A150" s="67">
        <v>759</v>
      </c>
      <c r="B150" s="68" t="s">
        <v>221</v>
      </c>
      <c r="C150" s="67">
        <v>971</v>
      </c>
      <c r="D150" s="381">
        <v>170</v>
      </c>
      <c r="E150" s="69">
        <v>150</v>
      </c>
      <c r="F150" s="67">
        <v>0</v>
      </c>
      <c r="G150" s="67">
        <v>0</v>
      </c>
    </row>
    <row r="151" spans="1:7" ht="12.75">
      <c r="A151" s="67">
        <v>760</v>
      </c>
      <c r="B151" s="68" t="s">
        <v>222</v>
      </c>
      <c r="C151" s="67">
        <v>1400</v>
      </c>
      <c r="D151" s="381">
        <v>114</v>
      </c>
      <c r="E151" s="69">
        <v>0</v>
      </c>
      <c r="F151" s="67">
        <v>0</v>
      </c>
      <c r="G151" s="67">
        <v>0</v>
      </c>
    </row>
    <row r="152" spans="1:7" ht="12.75">
      <c r="A152" s="67">
        <v>761</v>
      </c>
      <c r="B152" s="68" t="s">
        <v>223</v>
      </c>
      <c r="C152" s="67">
        <v>1700</v>
      </c>
      <c r="D152" s="381">
        <v>75</v>
      </c>
      <c r="E152" s="69">
        <v>150</v>
      </c>
      <c r="F152" s="67">
        <v>0</v>
      </c>
      <c r="G152" s="67">
        <v>0</v>
      </c>
    </row>
    <row r="153" spans="1:7" ht="12.75">
      <c r="A153" s="67">
        <v>762</v>
      </c>
      <c r="B153" s="68" t="s">
        <v>224</v>
      </c>
      <c r="C153" s="67">
        <v>971</v>
      </c>
      <c r="D153" s="381">
        <v>170</v>
      </c>
      <c r="E153" s="69">
        <v>0</v>
      </c>
      <c r="F153" s="67">
        <v>0</v>
      </c>
      <c r="G153" s="67">
        <v>0</v>
      </c>
    </row>
    <row r="154" spans="1:7" ht="12.75">
      <c r="A154" s="67">
        <v>763</v>
      </c>
      <c r="B154" s="68" t="s">
        <v>225</v>
      </c>
      <c r="C154" s="67">
        <v>971</v>
      </c>
      <c r="D154" s="381">
        <v>170</v>
      </c>
      <c r="E154" s="69">
        <v>0</v>
      </c>
      <c r="F154" s="67">
        <v>0</v>
      </c>
      <c r="G154" s="67">
        <v>0</v>
      </c>
    </row>
    <row r="155" spans="1:7" ht="12.75">
      <c r="A155" s="67">
        <v>764</v>
      </c>
      <c r="B155" s="68" t="s">
        <v>226</v>
      </c>
      <c r="C155" s="67">
        <v>1500</v>
      </c>
      <c r="D155" s="381">
        <v>101</v>
      </c>
      <c r="E155" s="69">
        <v>150</v>
      </c>
      <c r="F155" s="67">
        <v>0</v>
      </c>
      <c r="G155" s="67">
        <v>0</v>
      </c>
    </row>
    <row r="156" spans="1:7" ht="12.75">
      <c r="A156" s="67">
        <v>765</v>
      </c>
      <c r="B156" s="68" t="s">
        <v>227</v>
      </c>
      <c r="C156" s="67">
        <v>1500</v>
      </c>
      <c r="D156" s="381">
        <v>101</v>
      </c>
      <c r="E156" s="69">
        <v>150</v>
      </c>
      <c r="F156" s="67">
        <v>0</v>
      </c>
      <c r="G156" s="67">
        <v>0</v>
      </c>
    </row>
    <row r="157" spans="1:7" ht="12.75">
      <c r="A157" s="67">
        <v>766</v>
      </c>
      <c r="B157" s="68" t="s">
        <v>228</v>
      </c>
      <c r="C157" s="67">
        <v>1942</v>
      </c>
      <c r="D157" s="381">
        <v>43</v>
      </c>
      <c r="E157" s="69">
        <v>150</v>
      </c>
      <c r="F157" s="67">
        <v>0</v>
      </c>
      <c r="G157" s="67">
        <v>0</v>
      </c>
    </row>
    <row r="158" spans="1:7" ht="12.75">
      <c r="A158" s="67">
        <v>767</v>
      </c>
      <c r="B158" s="68" t="s">
        <v>229</v>
      </c>
      <c r="C158" s="67">
        <v>1700</v>
      </c>
      <c r="D158" s="381">
        <v>75</v>
      </c>
      <c r="E158" s="69">
        <v>150</v>
      </c>
      <c r="F158" s="67">
        <v>0</v>
      </c>
      <c r="G158" s="67">
        <v>0</v>
      </c>
    </row>
    <row r="159" spans="1:7" ht="12.75">
      <c r="A159" s="67">
        <v>768</v>
      </c>
      <c r="B159" s="68" t="s">
        <v>230</v>
      </c>
      <c r="C159" s="67">
        <v>971</v>
      </c>
      <c r="D159" s="381">
        <v>170</v>
      </c>
      <c r="E159" s="69">
        <v>150</v>
      </c>
      <c r="F159" s="67">
        <v>0</v>
      </c>
      <c r="G159" s="67">
        <v>0</v>
      </c>
    </row>
    <row r="160" spans="1:7" ht="12.75">
      <c r="A160" s="67">
        <v>769</v>
      </c>
      <c r="B160" s="68" t="s">
        <v>231</v>
      </c>
      <c r="C160" s="67">
        <v>2913</v>
      </c>
      <c r="D160" s="381">
        <v>0</v>
      </c>
      <c r="E160" s="69">
        <v>0</v>
      </c>
      <c r="F160" s="67">
        <v>0</v>
      </c>
      <c r="G160" s="67">
        <v>0</v>
      </c>
    </row>
    <row r="161" spans="1:7" ht="12.75">
      <c r="A161" s="67">
        <v>770</v>
      </c>
      <c r="B161" s="68" t="s">
        <v>232</v>
      </c>
      <c r="C161" s="67">
        <v>2913</v>
      </c>
      <c r="D161" s="381">
        <v>0</v>
      </c>
      <c r="E161" s="69">
        <v>0</v>
      </c>
      <c r="F161" s="67">
        <v>0</v>
      </c>
      <c r="G161" s="67">
        <v>0</v>
      </c>
    </row>
    <row r="162" spans="1:7" ht="12.75">
      <c r="A162" s="67">
        <v>771</v>
      </c>
      <c r="B162" s="68" t="s">
        <v>233</v>
      </c>
      <c r="C162" s="67">
        <v>971</v>
      </c>
      <c r="D162" s="381">
        <v>170</v>
      </c>
      <c r="E162" s="69">
        <v>0</v>
      </c>
      <c r="F162" s="67">
        <v>0</v>
      </c>
      <c r="G162" s="67">
        <v>620</v>
      </c>
    </row>
    <row r="163" spans="1:7" ht="12.75">
      <c r="A163" s="67">
        <v>772</v>
      </c>
      <c r="B163" s="68" t="s">
        <v>234</v>
      </c>
      <c r="C163" s="67">
        <v>971</v>
      </c>
      <c r="D163" s="381">
        <v>170</v>
      </c>
      <c r="E163" s="69">
        <v>0</v>
      </c>
      <c r="F163" s="67">
        <v>0</v>
      </c>
      <c r="G163" s="67">
        <v>620</v>
      </c>
    </row>
    <row r="164" spans="1:7" ht="12.75">
      <c r="A164" s="67">
        <v>773</v>
      </c>
      <c r="B164" s="68" t="s">
        <v>235</v>
      </c>
      <c r="C164" s="67">
        <v>1942</v>
      </c>
      <c r="D164" s="381">
        <v>43</v>
      </c>
      <c r="E164" s="69">
        <v>0</v>
      </c>
      <c r="F164" s="67">
        <v>0</v>
      </c>
      <c r="G164" s="67">
        <v>669</v>
      </c>
    </row>
    <row r="165" spans="1:7" ht="12.75">
      <c r="A165" s="67">
        <v>774</v>
      </c>
      <c r="B165" s="68" t="s">
        <v>236</v>
      </c>
      <c r="C165" s="67">
        <v>1700</v>
      </c>
      <c r="D165" s="381">
        <v>75</v>
      </c>
      <c r="E165" s="69">
        <v>0</v>
      </c>
      <c r="F165" s="67">
        <v>0</v>
      </c>
      <c r="G165" s="67">
        <v>657</v>
      </c>
    </row>
    <row r="166" spans="1:7" ht="12.75">
      <c r="A166" s="67">
        <v>775</v>
      </c>
      <c r="B166" s="68" t="s">
        <v>237</v>
      </c>
      <c r="C166" s="67">
        <v>1400</v>
      </c>
      <c r="D166" s="381">
        <v>114</v>
      </c>
      <c r="E166" s="69">
        <v>150</v>
      </c>
      <c r="F166" s="67">
        <v>0</v>
      </c>
      <c r="G166" s="67">
        <v>0</v>
      </c>
    </row>
    <row r="167" spans="1:7" ht="12.75">
      <c r="A167" s="67">
        <v>776</v>
      </c>
      <c r="B167" s="68" t="s">
        <v>238</v>
      </c>
      <c r="C167" s="67">
        <v>971</v>
      </c>
      <c r="D167" s="381">
        <v>170</v>
      </c>
      <c r="E167" s="69">
        <v>0</v>
      </c>
      <c r="F167" s="67">
        <v>0</v>
      </c>
      <c r="G167" s="67">
        <v>0</v>
      </c>
    </row>
    <row r="168" spans="1:7" ht="12.75">
      <c r="A168" s="67">
        <v>777</v>
      </c>
      <c r="B168" s="68" t="s">
        <v>239</v>
      </c>
      <c r="C168" s="67">
        <v>971</v>
      </c>
      <c r="D168" s="381">
        <v>170</v>
      </c>
      <c r="E168" s="69">
        <v>0</v>
      </c>
      <c r="F168" s="67">
        <v>0</v>
      </c>
      <c r="G168" s="67">
        <v>155</v>
      </c>
    </row>
    <row r="169" spans="1:7" ht="12.75">
      <c r="A169" s="67">
        <v>778</v>
      </c>
      <c r="B169" s="68" t="s">
        <v>240</v>
      </c>
      <c r="C169" s="67">
        <v>1692</v>
      </c>
      <c r="D169" s="381">
        <v>76</v>
      </c>
      <c r="E169" s="69">
        <v>17</v>
      </c>
      <c r="F169" s="67">
        <v>0</v>
      </c>
      <c r="G169" s="67">
        <v>0</v>
      </c>
    </row>
    <row r="170" spans="1:7" ht="12.75">
      <c r="A170" s="67">
        <v>779</v>
      </c>
      <c r="B170" s="70" t="s">
        <v>241</v>
      </c>
      <c r="C170" s="67">
        <v>853</v>
      </c>
      <c r="D170" s="381">
        <v>779</v>
      </c>
      <c r="E170" s="69">
        <v>0</v>
      </c>
      <c r="F170" s="67">
        <v>0</v>
      </c>
      <c r="G170" s="67">
        <v>0</v>
      </c>
    </row>
    <row r="171" spans="1:7" ht="12.75">
      <c r="A171" s="67">
        <v>780</v>
      </c>
      <c r="B171" s="68" t="s">
        <v>242</v>
      </c>
      <c r="C171" s="67">
        <v>3146</v>
      </c>
      <c r="D171" s="381">
        <v>0</v>
      </c>
      <c r="E171" s="69">
        <v>0</v>
      </c>
      <c r="F171" s="67">
        <v>0</v>
      </c>
      <c r="G171" s="67">
        <v>0</v>
      </c>
    </row>
    <row r="172" spans="1:7" ht="12.75">
      <c r="A172" s="67">
        <v>781</v>
      </c>
      <c r="B172" s="68" t="s">
        <v>243</v>
      </c>
      <c r="C172" s="67">
        <v>2288</v>
      </c>
      <c r="D172" s="381">
        <v>0</v>
      </c>
      <c r="E172" s="69">
        <v>0</v>
      </c>
      <c r="F172" s="67">
        <v>0</v>
      </c>
      <c r="G172" s="67">
        <v>0</v>
      </c>
    </row>
    <row r="173" spans="1:7" ht="12.75">
      <c r="A173" s="67">
        <v>783</v>
      </c>
      <c r="B173" s="68" t="s">
        <v>244</v>
      </c>
      <c r="C173" s="67">
        <v>971</v>
      </c>
      <c r="D173" s="381">
        <v>170</v>
      </c>
      <c r="E173" s="69">
        <v>0</v>
      </c>
      <c r="F173" s="67">
        <v>0</v>
      </c>
      <c r="G173" s="67">
        <v>0</v>
      </c>
    </row>
    <row r="174" spans="1:7" ht="12.75">
      <c r="A174" s="67">
        <v>784</v>
      </c>
      <c r="B174" s="68" t="s">
        <v>245</v>
      </c>
      <c r="C174" s="67">
        <v>2490</v>
      </c>
      <c r="D174" s="381">
        <v>0</v>
      </c>
      <c r="E174" s="69">
        <v>0</v>
      </c>
      <c r="F174" s="67">
        <v>0</v>
      </c>
      <c r="G174" s="67">
        <v>0</v>
      </c>
    </row>
    <row r="175" spans="1:7" ht="12.75">
      <c r="A175" s="67">
        <v>788</v>
      </c>
      <c r="B175" s="68" t="s">
        <v>246</v>
      </c>
      <c r="C175" s="67">
        <v>2000</v>
      </c>
      <c r="D175" s="381">
        <v>36</v>
      </c>
      <c r="E175" s="69">
        <v>0</v>
      </c>
      <c r="F175" s="67">
        <v>0</v>
      </c>
      <c r="G175" s="67">
        <v>0</v>
      </c>
    </row>
    <row r="176" spans="1:7" ht="12.75">
      <c r="A176" s="67">
        <v>789</v>
      </c>
      <c r="B176" s="68" t="s">
        <v>247</v>
      </c>
      <c r="C176" s="67">
        <v>971</v>
      </c>
      <c r="D176" s="381">
        <v>170</v>
      </c>
      <c r="E176" s="69">
        <v>0</v>
      </c>
      <c r="F176" s="67">
        <v>0</v>
      </c>
      <c r="G176" s="67">
        <v>0</v>
      </c>
    </row>
    <row r="177" spans="1:7" ht="12.75">
      <c r="A177" s="67">
        <v>791</v>
      </c>
      <c r="B177" s="68" t="s">
        <v>248</v>
      </c>
      <c r="C177" s="67">
        <v>2913</v>
      </c>
      <c r="D177" s="381">
        <v>0</v>
      </c>
      <c r="E177" s="69">
        <v>17</v>
      </c>
      <c r="F177" s="67">
        <v>0</v>
      </c>
      <c r="G177" s="67">
        <v>0</v>
      </c>
    </row>
    <row r="178" spans="1:7" ht="12.75">
      <c r="A178" s="67">
        <v>792</v>
      </c>
      <c r="B178" s="68" t="s">
        <v>249</v>
      </c>
      <c r="C178" s="67">
        <v>2913</v>
      </c>
      <c r="D178" s="381">
        <v>0</v>
      </c>
      <c r="E178" s="69">
        <v>0</v>
      </c>
      <c r="F178" s="67">
        <v>0</v>
      </c>
      <c r="G178" s="67">
        <v>0</v>
      </c>
    </row>
    <row r="179" spans="1:7" ht="12.75">
      <c r="A179" s="67">
        <v>793</v>
      </c>
      <c r="B179" s="68" t="s">
        <v>250</v>
      </c>
      <c r="C179" s="67">
        <v>2913</v>
      </c>
      <c r="D179" s="381">
        <v>0</v>
      </c>
      <c r="E179" s="69">
        <v>0</v>
      </c>
      <c r="F179" s="67">
        <v>0</v>
      </c>
      <c r="G179" s="67">
        <v>0</v>
      </c>
    </row>
    <row r="180" spans="1:7" ht="12.75">
      <c r="A180" s="67">
        <v>794</v>
      </c>
      <c r="B180" s="68" t="s">
        <v>251</v>
      </c>
      <c r="C180" s="67">
        <v>1840</v>
      </c>
      <c r="D180" s="381">
        <v>57</v>
      </c>
      <c r="E180" s="69">
        <v>0</v>
      </c>
      <c r="F180" s="67">
        <v>0</v>
      </c>
      <c r="G180" s="67">
        <v>0</v>
      </c>
    </row>
    <row r="181" spans="1:7" ht="12.75">
      <c r="A181" s="67">
        <v>795</v>
      </c>
      <c r="B181" s="68" t="s">
        <v>252</v>
      </c>
      <c r="C181" s="67">
        <v>1450</v>
      </c>
      <c r="D181" s="381">
        <v>107</v>
      </c>
      <c r="E181" s="69">
        <v>0</v>
      </c>
      <c r="F181" s="67">
        <v>0</v>
      </c>
      <c r="G181" s="67">
        <v>0</v>
      </c>
    </row>
    <row r="182" spans="1:7" ht="12.75">
      <c r="A182" s="67">
        <v>796</v>
      </c>
      <c r="B182" s="68" t="s">
        <v>253</v>
      </c>
      <c r="C182" s="67">
        <v>1340</v>
      </c>
      <c r="D182" s="381">
        <v>122</v>
      </c>
      <c r="E182" s="69">
        <v>0</v>
      </c>
      <c r="F182" s="67">
        <v>0</v>
      </c>
      <c r="G182" s="67">
        <v>0</v>
      </c>
    </row>
    <row r="183" spans="1:7" ht="12.75">
      <c r="A183" s="67">
        <v>797</v>
      </c>
      <c r="B183" s="68" t="s">
        <v>254</v>
      </c>
      <c r="C183" s="67">
        <v>1170</v>
      </c>
      <c r="D183" s="381">
        <v>144</v>
      </c>
      <c r="E183" s="69">
        <v>0</v>
      </c>
      <c r="F183" s="67">
        <v>0</v>
      </c>
      <c r="G183" s="67">
        <v>0</v>
      </c>
    </row>
    <row r="184" spans="1:7" ht="12.75">
      <c r="A184" s="67">
        <v>798</v>
      </c>
      <c r="B184" s="68" t="s">
        <v>255</v>
      </c>
      <c r="C184" s="67">
        <v>961</v>
      </c>
      <c r="D184" s="381">
        <v>171</v>
      </c>
      <c r="E184" s="69">
        <v>0</v>
      </c>
      <c r="F184" s="67">
        <v>0</v>
      </c>
      <c r="G184" s="67">
        <v>0</v>
      </c>
    </row>
    <row r="185" spans="1:7" ht="12.75">
      <c r="A185" s="67">
        <v>808</v>
      </c>
      <c r="B185" s="68" t="s">
        <v>256</v>
      </c>
      <c r="C185" s="67">
        <v>1942</v>
      </c>
      <c r="D185" s="381">
        <v>43</v>
      </c>
      <c r="E185" s="69">
        <v>0</v>
      </c>
      <c r="F185" s="67">
        <v>0</v>
      </c>
      <c r="G185" s="67">
        <v>669</v>
      </c>
    </row>
    <row r="186" spans="1:7" ht="12.75">
      <c r="A186" s="67">
        <v>809</v>
      </c>
      <c r="B186" s="68" t="s">
        <v>257</v>
      </c>
      <c r="C186" s="67">
        <v>1782</v>
      </c>
      <c r="D186" s="381">
        <v>64</v>
      </c>
      <c r="E186" s="69">
        <v>0</v>
      </c>
      <c r="F186" s="67">
        <v>0</v>
      </c>
      <c r="G186" s="67">
        <v>669</v>
      </c>
    </row>
    <row r="187" spans="1:7" ht="12.75">
      <c r="A187" s="67">
        <v>810</v>
      </c>
      <c r="B187" s="68" t="s">
        <v>258</v>
      </c>
      <c r="C187" s="67">
        <v>1692</v>
      </c>
      <c r="D187" s="381">
        <v>76</v>
      </c>
      <c r="E187" s="69">
        <v>0</v>
      </c>
      <c r="F187" s="67">
        <v>0</v>
      </c>
      <c r="G187" s="67">
        <v>663</v>
      </c>
    </row>
    <row r="188" spans="1:7" ht="12.75">
      <c r="A188" s="67">
        <v>811</v>
      </c>
      <c r="B188" s="68" t="s">
        <v>259</v>
      </c>
      <c r="C188" s="67">
        <v>1592</v>
      </c>
      <c r="D188" s="381">
        <v>89</v>
      </c>
      <c r="E188" s="69">
        <v>0</v>
      </c>
      <c r="F188" s="67">
        <v>0</v>
      </c>
      <c r="G188" s="67">
        <v>657</v>
      </c>
    </row>
    <row r="189" spans="1:7" ht="12.75">
      <c r="A189" s="67">
        <v>812</v>
      </c>
      <c r="B189" s="68" t="s">
        <v>260</v>
      </c>
      <c r="C189" s="67">
        <v>1600</v>
      </c>
      <c r="D189" s="381">
        <v>88</v>
      </c>
      <c r="E189" s="69">
        <v>0</v>
      </c>
      <c r="F189" s="67">
        <v>0</v>
      </c>
      <c r="G189" s="67">
        <v>657</v>
      </c>
    </row>
    <row r="190" spans="1:7" ht="12.75">
      <c r="A190" s="67">
        <v>813</v>
      </c>
      <c r="B190" s="68" t="s">
        <v>261</v>
      </c>
      <c r="C190" s="67">
        <v>971</v>
      </c>
      <c r="D190" s="381">
        <v>170</v>
      </c>
      <c r="E190" s="69">
        <v>0</v>
      </c>
      <c r="F190" s="67">
        <v>0</v>
      </c>
      <c r="G190" s="67">
        <v>620</v>
      </c>
    </row>
    <row r="191" spans="1:7" ht="12.75">
      <c r="A191" s="67">
        <v>814</v>
      </c>
      <c r="B191" s="68" t="s">
        <v>262</v>
      </c>
      <c r="C191" s="67">
        <v>971</v>
      </c>
      <c r="D191" s="381">
        <v>170</v>
      </c>
      <c r="E191" s="69">
        <v>0</v>
      </c>
      <c r="F191" s="67">
        <v>0</v>
      </c>
      <c r="G191" s="67">
        <v>155</v>
      </c>
    </row>
    <row r="192" spans="1:7" ht="12.75">
      <c r="A192" s="67">
        <v>815</v>
      </c>
      <c r="B192" s="68" t="s">
        <v>263</v>
      </c>
      <c r="C192" s="67">
        <v>971</v>
      </c>
      <c r="D192" s="381">
        <v>170</v>
      </c>
      <c r="E192" s="69">
        <v>17</v>
      </c>
      <c r="F192" s="67">
        <v>0</v>
      </c>
      <c r="G192" s="67">
        <v>0</v>
      </c>
    </row>
    <row r="193" spans="1:7" ht="12.75">
      <c r="A193" s="67">
        <v>816</v>
      </c>
      <c r="B193" s="68" t="s">
        <v>264</v>
      </c>
      <c r="C193" s="67">
        <v>1600</v>
      </c>
      <c r="D193" s="381">
        <v>88</v>
      </c>
      <c r="E193" s="69">
        <v>17</v>
      </c>
      <c r="F193" s="67">
        <v>0</v>
      </c>
      <c r="G193" s="67">
        <v>0</v>
      </c>
    </row>
    <row r="194" spans="1:7" ht="12.75">
      <c r="A194" s="67">
        <v>817</v>
      </c>
      <c r="B194" s="68" t="s">
        <v>265</v>
      </c>
      <c r="C194" s="67">
        <v>1782</v>
      </c>
      <c r="D194" s="381">
        <v>64</v>
      </c>
      <c r="E194" s="69">
        <v>0</v>
      </c>
      <c r="F194" s="67">
        <v>0</v>
      </c>
      <c r="G194" s="67">
        <v>839</v>
      </c>
    </row>
    <row r="195" spans="1:7" ht="12.75">
      <c r="A195" s="67">
        <v>818</v>
      </c>
      <c r="B195" s="68" t="s">
        <v>266</v>
      </c>
      <c r="C195" s="67">
        <v>971</v>
      </c>
      <c r="D195" s="381">
        <v>170</v>
      </c>
      <c r="E195" s="69">
        <v>0</v>
      </c>
      <c r="F195" s="67">
        <v>0</v>
      </c>
      <c r="G195" s="67">
        <v>659</v>
      </c>
    </row>
    <row r="196" spans="1:7" ht="12.75">
      <c r="A196" s="67">
        <v>819</v>
      </c>
      <c r="B196" s="68" t="s">
        <v>267</v>
      </c>
      <c r="C196" s="67">
        <v>971</v>
      </c>
      <c r="D196" s="381">
        <v>170</v>
      </c>
      <c r="E196" s="69">
        <v>0</v>
      </c>
      <c r="F196" s="67">
        <v>0</v>
      </c>
      <c r="G196" s="67">
        <v>155</v>
      </c>
    </row>
    <row r="197" spans="1:7" ht="12.75">
      <c r="A197" s="67">
        <v>820</v>
      </c>
      <c r="B197" s="68" t="s">
        <v>268</v>
      </c>
      <c r="C197" s="67">
        <v>1692</v>
      </c>
      <c r="D197" s="381">
        <v>76</v>
      </c>
      <c r="E197" s="69">
        <v>0</v>
      </c>
      <c r="F197" s="67">
        <v>0</v>
      </c>
      <c r="G197" s="67">
        <v>839</v>
      </c>
    </row>
    <row r="198" spans="1:7" ht="12.75">
      <c r="A198" s="67">
        <v>821</v>
      </c>
      <c r="B198" s="68" t="s">
        <v>269</v>
      </c>
      <c r="C198" s="67">
        <v>1592</v>
      </c>
      <c r="D198" s="381">
        <v>89</v>
      </c>
      <c r="E198" s="69">
        <v>0</v>
      </c>
      <c r="F198" s="67">
        <v>0</v>
      </c>
      <c r="G198" s="67">
        <v>839</v>
      </c>
    </row>
    <row r="199" spans="1:7" ht="12.75">
      <c r="A199" s="67">
        <v>822</v>
      </c>
      <c r="B199" s="68" t="s">
        <v>270</v>
      </c>
      <c r="C199" s="67">
        <v>971</v>
      </c>
      <c r="D199" s="381">
        <v>170</v>
      </c>
      <c r="E199" s="69">
        <v>0</v>
      </c>
      <c r="F199" s="67">
        <v>0</v>
      </c>
      <c r="G199" s="67">
        <v>155</v>
      </c>
    </row>
    <row r="200" spans="1:7" ht="12.75">
      <c r="A200" s="67">
        <v>823</v>
      </c>
      <c r="B200" s="68" t="s">
        <v>271</v>
      </c>
      <c r="C200" s="67">
        <v>1700</v>
      </c>
      <c r="D200" s="381">
        <v>75</v>
      </c>
      <c r="E200" s="69">
        <v>0</v>
      </c>
      <c r="F200" s="67">
        <v>0</v>
      </c>
      <c r="G200" s="67">
        <v>657</v>
      </c>
    </row>
    <row r="201" spans="1:7" ht="12.75">
      <c r="A201" s="67">
        <v>824</v>
      </c>
      <c r="B201" s="68" t="s">
        <v>272</v>
      </c>
      <c r="C201" s="67">
        <v>1400</v>
      </c>
      <c r="D201" s="381">
        <v>114</v>
      </c>
      <c r="E201" s="69">
        <v>0</v>
      </c>
      <c r="F201" s="67">
        <v>0</v>
      </c>
      <c r="G201" s="67">
        <v>657</v>
      </c>
    </row>
    <row r="202" spans="1:7" ht="12.75">
      <c r="A202" s="67">
        <v>825</v>
      </c>
      <c r="B202" s="68" t="s">
        <v>273</v>
      </c>
      <c r="C202" s="67">
        <v>1300</v>
      </c>
      <c r="D202" s="381">
        <v>127</v>
      </c>
      <c r="E202" s="69">
        <v>0</v>
      </c>
      <c r="F202" s="67">
        <v>0</v>
      </c>
      <c r="G202" s="67">
        <v>657</v>
      </c>
    </row>
    <row r="203" spans="1:7" ht="12.75">
      <c r="A203" s="67">
        <v>826</v>
      </c>
      <c r="B203" s="68" t="s">
        <v>274</v>
      </c>
      <c r="C203" s="67">
        <v>1250</v>
      </c>
      <c r="D203" s="381">
        <v>134</v>
      </c>
      <c r="E203" s="69">
        <v>0</v>
      </c>
      <c r="F203" s="67">
        <v>0</v>
      </c>
      <c r="G203" s="67">
        <v>657</v>
      </c>
    </row>
    <row r="204" spans="1:7" ht="12.75">
      <c r="A204" s="67">
        <v>827</v>
      </c>
      <c r="B204" s="68" t="s">
        <v>275</v>
      </c>
      <c r="C204" s="67">
        <v>3146</v>
      </c>
      <c r="D204" s="381">
        <v>0</v>
      </c>
      <c r="E204" s="69">
        <v>0</v>
      </c>
      <c r="F204" s="67">
        <v>0</v>
      </c>
      <c r="G204" s="67">
        <v>0</v>
      </c>
    </row>
    <row r="205" spans="1:7" ht="12.75">
      <c r="A205" s="67">
        <v>828</v>
      </c>
      <c r="B205" s="68" t="s">
        <v>276</v>
      </c>
      <c r="C205" s="67">
        <v>2913</v>
      </c>
      <c r="D205" s="381">
        <v>0</v>
      </c>
      <c r="E205" s="69">
        <v>0</v>
      </c>
      <c r="F205" s="67">
        <v>0</v>
      </c>
      <c r="G205" s="67">
        <v>0</v>
      </c>
    </row>
    <row r="206" spans="1:7" ht="12.75">
      <c r="A206" s="67">
        <v>829</v>
      </c>
      <c r="B206" s="68" t="s">
        <v>277</v>
      </c>
      <c r="C206" s="67">
        <v>1942</v>
      </c>
      <c r="D206" s="381">
        <v>43</v>
      </c>
      <c r="E206" s="69">
        <v>0</v>
      </c>
      <c r="F206" s="67">
        <v>0</v>
      </c>
      <c r="G206" s="67">
        <v>0</v>
      </c>
    </row>
    <row r="207" spans="1:7" ht="12.75">
      <c r="A207" s="67">
        <v>830</v>
      </c>
      <c r="B207" s="68" t="s">
        <v>278</v>
      </c>
      <c r="C207" s="67">
        <v>1740</v>
      </c>
      <c r="D207" s="381">
        <v>70</v>
      </c>
      <c r="E207" s="69">
        <v>0</v>
      </c>
      <c r="F207" s="67">
        <v>0</v>
      </c>
      <c r="G207" s="67">
        <v>0</v>
      </c>
    </row>
    <row r="208" spans="1:7" ht="12.75">
      <c r="A208" s="67">
        <v>831</v>
      </c>
      <c r="B208" s="68" t="s">
        <v>279</v>
      </c>
      <c r="C208" s="67">
        <v>971</v>
      </c>
      <c r="D208" s="381">
        <v>170</v>
      </c>
      <c r="E208" s="69">
        <v>0</v>
      </c>
      <c r="F208" s="67">
        <v>0</v>
      </c>
      <c r="G208" s="67">
        <v>0</v>
      </c>
    </row>
    <row r="209" spans="1:7" ht="12.75">
      <c r="A209" s="67">
        <v>832</v>
      </c>
      <c r="B209" s="68" t="s">
        <v>280</v>
      </c>
      <c r="C209" s="67">
        <v>2913</v>
      </c>
      <c r="D209" s="381">
        <v>0</v>
      </c>
      <c r="E209" s="69">
        <v>0</v>
      </c>
      <c r="F209" s="67">
        <v>0</v>
      </c>
      <c r="G209" s="67">
        <v>0</v>
      </c>
    </row>
    <row r="210" spans="1:7" ht="12.75">
      <c r="A210" s="67">
        <v>833</v>
      </c>
      <c r="B210" s="68" t="s">
        <v>281</v>
      </c>
      <c r="C210" s="67">
        <v>971</v>
      </c>
      <c r="D210" s="381">
        <v>170</v>
      </c>
      <c r="E210" s="69">
        <v>0</v>
      </c>
      <c r="F210" s="67">
        <v>0</v>
      </c>
      <c r="G210" s="67">
        <v>155</v>
      </c>
    </row>
    <row r="211" spans="1:7" ht="12.75">
      <c r="A211" s="67">
        <v>834</v>
      </c>
      <c r="B211" s="68" t="s">
        <v>282</v>
      </c>
      <c r="C211" s="67">
        <v>971</v>
      </c>
      <c r="D211" s="381">
        <v>170</v>
      </c>
      <c r="E211" s="69">
        <v>0</v>
      </c>
      <c r="F211" s="67">
        <v>0</v>
      </c>
      <c r="G211" s="67">
        <v>155</v>
      </c>
    </row>
    <row r="212" spans="1:7" ht="12.75">
      <c r="A212" s="67">
        <v>835</v>
      </c>
      <c r="B212" s="68" t="s">
        <v>283</v>
      </c>
      <c r="C212" s="67">
        <v>971</v>
      </c>
      <c r="D212" s="381">
        <v>170</v>
      </c>
      <c r="E212" s="69">
        <v>0</v>
      </c>
      <c r="F212" s="67">
        <v>0</v>
      </c>
      <c r="G212" s="67">
        <v>0</v>
      </c>
    </row>
    <row r="213" spans="1:7" ht="12.75">
      <c r="A213" s="67">
        <v>836</v>
      </c>
      <c r="B213" s="68" t="s">
        <v>284</v>
      </c>
      <c r="C213" s="67">
        <v>971</v>
      </c>
      <c r="D213" s="381">
        <v>170</v>
      </c>
      <c r="E213" s="69">
        <v>0</v>
      </c>
      <c r="F213" s="67">
        <v>0</v>
      </c>
      <c r="G213" s="67">
        <v>155</v>
      </c>
    </row>
    <row r="214" spans="1:7" ht="12.75">
      <c r="A214" s="67">
        <v>837</v>
      </c>
      <c r="B214" s="68" t="s">
        <v>285</v>
      </c>
      <c r="C214" s="67">
        <v>971</v>
      </c>
      <c r="D214" s="381">
        <v>170</v>
      </c>
      <c r="E214" s="69">
        <v>0</v>
      </c>
      <c r="F214" s="67">
        <v>0</v>
      </c>
      <c r="G214" s="67">
        <v>155</v>
      </c>
    </row>
    <row r="215" spans="1:7" ht="12.75">
      <c r="A215" s="67">
        <v>839</v>
      </c>
      <c r="B215" s="68" t="s">
        <v>286</v>
      </c>
      <c r="C215" s="67">
        <v>971</v>
      </c>
      <c r="D215" s="381">
        <v>170</v>
      </c>
      <c r="E215" s="69">
        <v>0</v>
      </c>
      <c r="F215" s="67">
        <v>0</v>
      </c>
      <c r="G215" s="67">
        <v>155</v>
      </c>
    </row>
    <row r="216" spans="1:7" ht="12.75">
      <c r="A216" s="67">
        <v>840</v>
      </c>
      <c r="B216" s="68" t="s">
        <v>287</v>
      </c>
      <c r="C216" s="67">
        <v>971</v>
      </c>
      <c r="D216" s="381">
        <v>170</v>
      </c>
      <c r="E216" s="69">
        <v>0</v>
      </c>
      <c r="F216" s="67">
        <v>0</v>
      </c>
      <c r="G216" s="67">
        <v>155</v>
      </c>
    </row>
    <row r="217" spans="1:7" ht="12.75">
      <c r="A217" s="67">
        <v>842</v>
      </c>
      <c r="B217" s="68" t="s">
        <v>288</v>
      </c>
      <c r="C217" s="67">
        <v>1500</v>
      </c>
      <c r="D217" s="381">
        <v>101</v>
      </c>
      <c r="E217" s="69">
        <v>0</v>
      </c>
      <c r="F217" s="67">
        <v>0</v>
      </c>
      <c r="G217" s="67">
        <v>0</v>
      </c>
    </row>
    <row r="218" spans="1:7" ht="12.75">
      <c r="A218" s="67">
        <v>843</v>
      </c>
      <c r="B218" s="68" t="s">
        <v>289</v>
      </c>
      <c r="C218" s="67">
        <v>1250</v>
      </c>
      <c r="D218" s="381">
        <v>134</v>
      </c>
      <c r="E218" s="69">
        <v>0</v>
      </c>
      <c r="F218" s="67">
        <v>0</v>
      </c>
      <c r="G218" s="67">
        <v>0</v>
      </c>
    </row>
    <row r="219" spans="1:7" ht="12.75">
      <c r="A219" s="67">
        <v>844</v>
      </c>
      <c r="B219" s="68" t="s">
        <v>290</v>
      </c>
      <c r="C219" s="67">
        <v>1660</v>
      </c>
      <c r="D219" s="381">
        <v>80</v>
      </c>
      <c r="E219" s="69">
        <v>0</v>
      </c>
      <c r="F219" s="67">
        <v>0</v>
      </c>
      <c r="G219" s="67">
        <v>0</v>
      </c>
    </row>
    <row r="220" spans="1:7" ht="12.75">
      <c r="A220" s="67">
        <v>849</v>
      </c>
      <c r="B220" s="68" t="s">
        <v>291</v>
      </c>
      <c r="C220" s="67">
        <v>971</v>
      </c>
      <c r="D220" s="381">
        <v>170</v>
      </c>
      <c r="E220" s="69">
        <v>0</v>
      </c>
      <c r="F220" s="67">
        <v>0</v>
      </c>
      <c r="G220" s="67">
        <v>0</v>
      </c>
    </row>
    <row r="221" spans="1:7" ht="12.75">
      <c r="A221" s="67">
        <v>900</v>
      </c>
      <c r="B221" s="68" t="s">
        <v>292</v>
      </c>
      <c r="C221" s="67">
        <v>3146</v>
      </c>
      <c r="D221" s="381">
        <v>0</v>
      </c>
      <c r="E221" s="69">
        <v>0</v>
      </c>
      <c r="F221" s="67">
        <v>0</v>
      </c>
      <c r="G221" s="67">
        <v>0</v>
      </c>
    </row>
    <row r="222" spans="1:7" ht="12.75">
      <c r="A222" s="67">
        <v>901</v>
      </c>
      <c r="B222" s="68" t="s">
        <v>293</v>
      </c>
      <c r="C222" s="67">
        <v>2913</v>
      </c>
      <c r="D222" s="381">
        <v>0</v>
      </c>
      <c r="E222" s="69">
        <v>0</v>
      </c>
      <c r="F222" s="67">
        <v>0</v>
      </c>
      <c r="G222" s="67">
        <v>0</v>
      </c>
    </row>
    <row r="223" spans="1:7" ht="12.75">
      <c r="A223" s="67">
        <v>902</v>
      </c>
      <c r="B223" s="68" t="s">
        <v>294</v>
      </c>
      <c r="C223" s="67">
        <v>2913</v>
      </c>
      <c r="D223" s="381">
        <v>0</v>
      </c>
      <c r="E223" s="69">
        <v>20</v>
      </c>
      <c r="F223" s="67">
        <v>0</v>
      </c>
      <c r="G223" s="67">
        <v>0</v>
      </c>
    </row>
    <row r="224" spans="1:7" ht="12.75">
      <c r="A224" s="67">
        <v>903</v>
      </c>
      <c r="B224" s="68" t="s">
        <v>295</v>
      </c>
      <c r="C224" s="67">
        <v>2913</v>
      </c>
      <c r="D224" s="381">
        <v>0</v>
      </c>
      <c r="E224" s="69">
        <v>0</v>
      </c>
      <c r="F224" s="67">
        <v>0</v>
      </c>
      <c r="G224" s="67">
        <v>0</v>
      </c>
    </row>
    <row r="225" spans="1:7" ht="12.75">
      <c r="A225" s="67">
        <v>904</v>
      </c>
      <c r="B225" s="68" t="s">
        <v>296</v>
      </c>
      <c r="C225" s="67">
        <v>2100</v>
      </c>
      <c r="D225" s="381">
        <v>23</v>
      </c>
      <c r="E225" s="69">
        <v>0</v>
      </c>
      <c r="F225" s="67">
        <v>0</v>
      </c>
      <c r="G225" s="67">
        <v>0</v>
      </c>
    </row>
    <row r="226" spans="1:7" ht="12.75">
      <c r="A226" s="67">
        <v>905</v>
      </c>
      <c r="B226" s="68" t="s">
        <v>297</v>
      </c>
      <c r="C226" s="67">
        <v>1800</v>
      </c>
      <c r="D226" s="381">
        <v>62</v>
      </c>
      <c r="E226" s="69">
        <v>0</v>
      </c>
      <c r="F226" s="67">
        <v>0</v>
      </c>
      <c r="G226" s="67">
        <v>0</v>
      </c>
    </row>
    <row r="227" spans="1:7" ht="12.75">
      <c r="A227" s="67">
        <v>906</v>
      </c>
      <c r="B227" s="68" t="s">
        <v>298</v>
      </c>
      <c r="C227" s="67">
        <v>1942</v>
      </c>
      <c r="D227" s="381">
        <v>43</v>
      </c>
      <c r="E227" s="69">
        <v>0</v>
      </c>
      <c r="F227" s="67">
        <v>0</v>
      </c>
      <c r="G227" s="67">
        <v>0</v>
      </c>
    </row>
    <row r="228" spans="1:7" ht="12.75">
      <c r="A228" s="67">
        <v>907</v>
      </c>
      <c r="B228" s="68" t="s">
        <v>299</v>
      </c>
      <c r="C228" s="67">
        <v>1782</v>
      </c>
      <c r="D228" s="381">
        <v>64</v>
      </c>
      <c r="E228" s="69">
        <v>0</v>
      </c>
      <c r="F228" s="67">
        <v>0</v>
      </c>
      <c r="G228" s="67">
        <v>0</v>
      </c>
    </row>
    <row r="229" spans="1:7" ht="12.75">
      <c r="A229" s="67">
        <v>908</v>
      </c>
      <c r="B229" s="68" t="s">
        <v>300</v>
      </c>
      <c r="C229" s="67">
        <v>1692</v>
      </c>
      <c r="D229" s="381">
        <v>76</v>
      </c>
      <c r="E229" s="69">
        <v>0</v>
      </c>
      <c r="F229" s="67">
        <v>0</v>
      </c>
      <c r="G229" s="67">
        <v>0</v>
      </c>
    </row>
    <row r="230" spans="1:7" ht="12.75">
      <c r="A230" s="67">
        <v>909</v>
      </c>
      <c r="B230" s="68" t="s">
        <v>301</v>
      </c>
      <c r="C230" s="67">
        <v>1592</v>
      </c>
      <c r="D230" s="381">
        <v>89</v>
      </c>
      <c r="E230" s="69">
        <v>0</v>
      </c>
      <c r="F230" s="67">
        <v>0</v>
      </c>
      <c r="G230" s="67">
        <v>0</v>
      </c>
    </row>
    <row r="231" spans="1:7" ht="12.75">
      <c r="A231" s="67">
        <v>910</v>
      </c>
      <c r="B231" s="68" t="s">
        <v>185</v>
      </c>
      <c r="C231" s="67">
        <v>1942</v>
      </c>
      <c r="D231" s="381">
        <v>43</v>
      </c>
      <c r="E231" s="69">
        <v>150</v>
      </c>
      <c r="F231" s="67">
        <v>0</v>
      </c>
      <c r="G231" s="67">
        <v>0</v>
      </c>
    </row>
    <row r="232" spans="1:7" ht="12.75">
      <c r="A232" s="67">
        <v>911</v>
      </c>
      <c r="B232" s="68" t="s">
        <v>195</v>
      </c>
      <c r="C232" s="67">
        <v>1592</v>
      </c>
      <c r="D232" s="381">
        <v>89</v>
      </c>
      <c r="E232" s="69">
        <v>0</v>
      </c>
      <c r="F232" s="67">
        <v>0</v>
      </c>
      <c r="G232" s="67">
        <v>0</v>
      </c>
    </row>
    <row r="233" spans="1:7" ht="12.75">
      <c r="A233" s="67">
        <v>912</v>
      </c>
      <c r="B233" s="68" t="s">
        <v>302</v>
      </c>
      <c r="C233" s="67">
        <v>1782</v>
      </c>
      <c r="D233" s="381">
        <v>64</v>
      </c>
      <c r="E233" s="69">
        <v>17</v>
      </c>
      <c r="F233" s="67">
        <v>0</v>
      </c>
      <c r="G233" s="67">
        <v>0</v>
      </c>
    </row>
    <row r="234" spans="1:7" ht="12.75">
      <c r="A234" s="67">
        <v>913</v>
      </c>
      <c r="B234" s="68" t="s">
        <v>303</v>
      </c>
      <c r="C234" s="67">
        <v>1700</v>
      </c>
      <c r="D234" s="381">
        <v>75</v>
      </c>
      <c r="E234" s="69">
        <v>0</v>
      </c>
      <c r="F234" s="67">
        <v>0</v>
      </c>
      <c r="G234" s="67">
        <v>0</v>
      </c>
    </row>
    <row r="235" spans="1:7" ht="12.75">
      <c r="A235" s="67">
        <v>914</v>
      </c>
      <c r="B235" s="68" t="s">
        <v>304</v>
      </c>
      <c r="C235" s="67">
        <v>1600</v>
      </c>
      <c r="D235" s="381">
        <v>88</v>
      </c>
      <c r="E235" s="69">
        <v>0</v>
      </c>
      <c r="F235" s="67">
        <v>0</v>
      </c>
      <c r="G235" s="67">
        <v>0</v>
      </c>
    </row>
    <row r="236" spans="1:7" ht="12.75">
      <c r="A236" s="67">
        <v>915</v>
      </c>
      <c r="B236" s="68" t="s">
        <v>305</v>
      </c>
      <c r="C236" s="67">
        <v>1700</v>
      </c>
      <c r="D236" s="381">
        <v>75</v>
      </c>
      <c r="E236" s="69">
        <v>150</v>
      </c>
      <c r="F236" s="67">
        <v>0</v>
      </c>
      <c r="G236" s="67">
        <v>0</v>
      </c>
    </row>
    <row r="237" spans="1:7" ht="12.75">
      <c r="A237" s="67">
        <v>916</v>
      </c>
      <c r="B237" s="68" t="s">
        <v>306</v>
      </c>
      <c r="C237" s="67">
        <v>1300</v>
      </c>
      <c r="D237" s="381">
        <v>127</v>
      </c>
      <c r="E237" s="69">
        <v>0</v>
      </c>
      <c r="F237" s="67">
        <v>0</v>
      </c>
      <c r="G237" s="67">
        <v>0</v>
      </c>
    </row>
    <row r="238" spans="1:7" ht="12.75">
      <c r="A238" s="67">
        <v>917</v>
      </c>
      <c r="B238" s="68" t="s">
        <v>307</v>
      </c>
      <c r="C238" s="67">
        <v>971</v>
      </c>
      <c r="D238" s="381">
        <v>170</v>
      </c>
      <c r="E238" s="69">
        <v>0</v>
      </c>
      <c r="F238" s="67">
        <v>0</v>
      </c>
      <c r="G238" s="67">
        <v>0</v>
      </c>
    </row>
    <row r="239" spans="1:7" ht="12.75">
      <c r="A239" s="67">
        <v>918</v>
      </c>
      <c r="B239" s="68" t="s">
        <v>203</v>
      </c>
      <c r="C239" s="67">
        <v>971</v>
      </c>
      <c r="D239" s="381">
        <v>170</v>
      </c>
      <c r="E239" s="69">
        <v>150</v>
      </c>
      <c r="F239" s="67">
        <v>0</v>
      </c>
      <c r="G239" s="67">
        <v>0</v>
      </c>
    </row>
    <row r="240" spans="1:7" ht="12.75">
      <c r="A240" s="67">
        <v>919</v>
      </c>
      <c r="B240" s="68" t="s">
        <v>308</v>
      </c>
      <c r="C240" s="67">
        <v>971</v>
      </c>
      <c r="D240" s="381">
        <v>170</v>
      </c>
      <c r="E240" s="69">
        <v>17</v>
      </c>
      <c r="F240" s="67">
        <v>0</v>
      </c>
      <c r="G240" s="67">
        <v>0</v>
      </c>
    </row>
    <row r="241" spans="1:7" ht="12.75">
      <c r="A241" s="67">
        <v>920</v>
      </c>
      <c r="B241" s="68" t="s">
        <v>309</v>
      </c>
      <c r="C241" s="67">
        <v>971</v>
      </c>
      <c r="D241" s="381">
        <v>170</v>
      </c>
      <c r="E241" s="69">
        <v>150</v>
      </c>
      <c r="F241" s="67">
        <v>0</v>
      </c>
      <c r="G241" s="67">
        <v>0</v>
      </c>
    </row>
    <row r="242" spans="1:7" ht="12.75">
      <c r="A242" s="67">
        <v>921</v>
      </c>
      <c r="B242" s="68" t="s">
        <v>310</v>
      </c>
      <c r="C242" s="67">
        <v>971</v>
      </c>
      <c r="D242" s="381">
        <v>170</v>
      </c>
      <c r="E242" s="69">
        <v>0</v>
      </c>
      <c r="F242" s="67">
        <v>0</v>
      </c>
      <c r="G242" s="67">
        <v>0</v>
      </c>
    </row>
    <row r="243" spans="1:7" ht="12.75">
      <c r="A243" s="67">
        <v>922</v>
      </c>
      <c r="B243" s="68" t="s">
        <v>311</v>
      </c>
      <c r="C243" s="67">
        <v>971</v>
      </c>
      <c r="D243" s="381">
        <v>170</v>
      </c>
      <c r="E243" s="69">
        <v>0</v>
      </c>
      <c r="F243" s="67">
        <v>0</v>
      </c>
      <c r="G243" s="67">
        <v>0</v>
      </c>
    </row>
    <row r="244" spans="1:7" ht="12.75">
      <c r="A244" s="67">
        <v>923</v>
      </c>
      <c r="B244" s="68" t="s">
        <v>312</v>
      </c>
      <c r="C244" s="67">
        <v>971</v>
      </c>
      <c r="D244" s="381">
        <v>170</v>
      </c>
      <c r="E244" s="69">
        <v>0</v>
      </c>
      <c r="F244" s="67">
        <v>0</v>
      </c>
      <c r="G244" s="67">
        <v>0</v>
      </c>
    </row>
    <row r="245" spans="1:7" ht="12.75">
      <c r="A245" s="67">
        <v>924</v>
      </c>
      <c r="B245" s="68" t="s">
        <v>313</v>
      </c>
      <c r="C245" s="67">
        <v>971</v>
      </c>
      <c r="D245" s="381">
        <v>170</v>
      </c>
      <c r="E245" s="69">
        <v>150</v>
      </c>
      <c r="F245" s="67">
        <v>0</v>
      </c>
      <c r="G245" s="67">
        <v>0</v>
      </c>
    </row>
    <row r="246" spans="1:7" ht="12.75">
      <c r="A246" s="67">
        <v>925</v>
      </c>
      <c r="B246" s="68" t="s">
        <v>105</v>
      </c>
      <c r="C246" s="67">
        <v>971</v>
      </c>
      <c r="D246" s="381">
        <v>170</v>
      </c>
      <c r="E246" s="69">
        <v>0</v>
      </c>
      <c r="F246" s="67">
        <v>0</v>
      </c>
      <c r="G246" s="67">
        <v>0</v>
      </c>
    </row>
    <row r="247" spans="1:7" ht="12.75">
      <c r="A247" s="67">
        <v>926</v>
      </c>
      <c r="B247" s="68" t="s">
        <v>227</v>
      </c>
      <c r="C247" s="67">
        <v>1500</v>
      </c>
      <c r="D247" s="381">
        <v>101</v>
      </c>
      <c r="E247" s="69">
        <v>150</v>
      </c>
      <c r="F247" s="67">
        <v>0</v>
      </c>
      <c r="G247" s="67">
        <v>0</v>
      </c>
    </row>
    <row r="248" spans="1:7" ht="12.75">
      <c r="A248" s="67">
        <v>928</v>
      </c>
      <c r="B248" s="68" t="s">
        <v>198</v>
      </c>
      <c r="C248" s="67">
        <v>1500</v>
      </c>
      <c r="D248" s="381">
        <v>101</v>
      </c>
      <c r="E248" s="69">
        <v>150</v>
      </c>
      <c r="F248" s="67">
        <v>0</v>
      </c>
      <c r="G248" s="67">
        <v>0</v>
      </c>
    </row>
    <row r="249" spans="1:7" ht="12.75">
      <c r="A249" s="67">
        <v>929</v>
      </c>
      <c r="B249" s="68" t="s">
        <v>314</v>
      </c>
      <c r="C249" s="67">
        <v>971</v>
      </c>
      <c r="D249" s="381">
        <v>170</v>
      </c>
      <c r="E249" s="69">
        <v>150</v>
      </c>
      <c r="F249" s="67">
        <v>0</v>
      </c>
      <c r="G249" s="67">
        <v>0</v>
      </c>
    </row>
    <row r="250" spans="1:7" ht="12.75">
      <c r="A250" s="67">
        <v>930</v>
      </c>
      <c r="B250" s="68" t="s">
        <v>315</v>
      </c>
      <c r="C250" s="67">
        <v>1592</v>
      </c>
      <c r="D250" s="381">
        <v>89</v>
      </c>
      <c r="E250" s="69">
        <v>0</v>
      </c>
      <c r="F250" s="67">
        <v>0</v>
      </c>
      <c r="G250" s="67">
        <v>0</v>
      </c>
    </row>
    <row r="251" spans="1:7" ht="12.75">
      <c r="A251" s="67">
        <v>931</v>
      </c>
      <c r="B251" s="68" t="s">
        <v>316</v>
      </c>
      <c r="C251" s="67">
        <v>971</v>
      </c>
      <c r="D251" s="381">
        <v>170</v>
      </c>
      <c r="E251" s="69">
        <v>0</v>
      </c>
      <c r="F251" s="67">
        <v>0</v>
      </c>
      <c r="G251" s="67">
        <v>0</v>
      </c>
    </row>
    <row r="252" spans="1:7" ht="12.75">
      <c r="A252" s="67">
        <v>932</v>
      </c>
      <c r="B252" s="68" t="s">
        <v>317</v>
      </c>
      <c r="C252" s="67">
        <v>2220</v>
      </c>
      <c r="D252" s="381">
        <v>7</v>
      </c>
      <c r="E252" s="69">
        <v>0</v>
      </c>
      <c r="F252" s="67">
        <v>0</v>
      </c>
      <c r="G252" s="67">
        <v>0</v>
      </c>
    </row>
    <row r="253" spans="1:7" ht="12.75">
      <c r="A253" s="77">
        <v>933</v>
      </c>
      <c r="B253" s="78" t="s">
        <v>318</v>
      </c>
      <c r="C253" s="77">
        <v>1580</v>
      </c>
      <c r="D253" s="381">
        <v>90</v>
      </c>
      <c r="E253" s="79">
        <v>0</v>
      </c>
      <c r="F253" s="77">
        <v>0</v>
      </c>
      <c r="G253" s="77">
        <v>0</v>
      </c>
    </row>
    <row r="254" spans="1:7" ht="12.75">
      <c r="A254" s="67">
        <v>934</v>
      </c>
      <c r="B254" s="68" t="s">
        <v>319</v>
      </c>
      <c r="C254" s="67">
        <v>922</v>
      </c>
      <c r="D254" s="381">
        <v>176</v>
      </c>
      <c r="E254" s="69">
        <v>0</v>
      </c>
      <c r="F254" s="67">
        <v>0</v>
      </c>
      <c r="G254" s="67">
        <v>0</v>
      </c>
    </row>
    <row r="255" spans="1:7" ht="12.75">
      <c r="A255" s="67">
        <v>935</v>
      </c>
      <c r="B255" s="68" t="s">
        <v>320</v>
      </c>
      <c r="C255" s="67">
        <v>971</v>
      </c>
      <c r="D255" s="381">
        <v>170</v>
      </c>
      <c r="E255" s="69">
        <v>0</v>
      </c>
      <c r="F255" s="67">
        <v>0</v>
      </c>
      <c r="G255" s="67">
        <v>0</v>
      </c>
    </row>
    <row r="256" spans="1:7" ht="12.75">
      <c r="A256" s="67">
        <v>936</v>
      </c>
      <c r="B256" s="68" t="s">
        <v>321</v>
      </c>
      <c r="C256" s="67">
        <v>1250</v>
      </c>
      <c r="D256" s="381">
        <v>134</v>
      </c>
      <c r="E256" s="69">
        <v>0</v>
      </c>
      <c r="F256" s="67">
        <v>0</v>
      </c>
      <c r="G256" s="67">
        <v>0</v>
      </c>
    </row>
    <row r="257" spans="1:7" ht="12.75">
      <c r="A257" s="74">
        <v>937</v>
      </c>
      <c r="B257" s="75" t="s">
        <v>322</v>
      </c>
      <c r="C257" s="74">
        <v>971</v>
      </c>
      <c r="D257" s="381">
        <v>170</v>
      </c>
      <c r="E257" s="76">
        <v>0</v>
      </c>
      <c r="F257" s="74">
        <v>0</v>
      </c>
      <c r="G257" s="74">
        <v>0</v>
      </c>
    </row>
    <row r="258" spans="1:7" ht="12.75">
      <c r="A258" s="67">
        <v>940</v>
      </c>
      <c r="B258" s="68" t="s">
        <v>323</v>
      </c>
      <c r="C258" s="67">
        <v>1692</v>
      </c>
      <c r="D258" s="381">
        <v>76</v>
      </c>
      <c r="E258" s="69">
        <v>0</v>
      </c>
      <c r="F258" s="67">
        <v>0</v>
      </c>
      <c r="G258" s="67">
        <v>0</v>
      </c>
    </row>
    <row r="259" spans="1:7" ht="12.75">
      <c r="A259" s="67">
        <v>941</v>
      </c>
      <c r="B259" s="68" t="s">
        <v>324</v>
      </c>
      <c r="C259" s="67">
        <v>1942</v>
      </c>
      <c r="D259" s="381">
        <v>43</v>
      </c>
      <c r="E259" s="69">
        <v>0</v>
      </c>
      <c r="F259" s="67">
        <v>0</v>
      </c>
      <c r="G259" s="67">
        <v>0</v>
      </c>
    </row>
    <row r="260" spans="1:7" ht="12.75">
      <c r="A260" s="67">
        <v>942</v>
      </c>
      <c r="B260" s="68" t="s">
        <v>325</v>
      </c>
      <c r="C260" s="67">
        <v>1782</v>
      </c>
      <c r="D260" s="381">
        <v>64</v>
      </c>
      <c r="E260" s="69">
        <v>0</v>
      </c>
      <c r="F260" s="67">
        <v>0</v>
      </c>
      <c r="G260" s="67">
        <v>0</v>
      </c>
    </row>
    <row r="261" spans="1:7" ht="12.75">
      <c r="A261" s="67">
        <v>943</v>
      </c>
      <c r="B261" s="68" t="s">
        <v>226</v>
      </c>
      <c r="C261" s="67">
        <v>1500</v>
      </c>
      <c r="D261" s="381">
        <v>101</v>
      </c>
      <c r="E261" s="69">
        <v>150</v>
      </c>
      <c r="F261" s="67">
        <v>0</v>
      </c>
      <c r="G261" s="67">
        <v>0</v>
      </c>
    </row>
    <row r="262" spans="1:7" ht="12.75">
      <c r="A262" s="67">
        <v>944</v>
      </c>
      <c r="B262" s="68" t="s">
        <v>326</v>
      </c>
      <c r="C262" s="67">
        <v>1400</v>
      </c>
      <c r="D262" s="381">
        <v>114</v>
      </c>
      <c r="E262" s="69">
        <v>0</v>
      </c>
      <c r="F262" s="67">
        <v>0</v>
      </c>
      <c r="G262" s="67">
        <v>0</v>
      </c>
    </row>
    <row r="263" spans="1:7" ht="12.75">
      <c r="A263" s="67">
        <v>945</v>
      </c>
      <c r="B263" s="68" t="s">
        <v>327</v>
      </c>
      <c r="C263" s="67">
        <v>1782</v>
      </c>
      <c r="D263" s="381">
        <v>64</v>
      </c>
      <c r="E263" s="69">
        <v>0</v>
      </c>
      <c r="F263" s="67">
        <v>0</v>
      </c>
      <c r="G263" s="67">
        <v>669</v>
      </c>
    </row>
    <row r="264" spans="1:7" ht="12.75">
      <c r="A264" s="67">
        <v>946</v>
      </c>
      <c r="B264" s="68" t="s">
        <v>261</v>
      </c>
      <c r="C264" s="67">
        <v>971</v>
      </c>
      <c r="D264" s="381">
        <v>170</v>
      </c>
      <c r="E264" s="69">
        <v>0</v>
      </c>
      <c r="F264" s="67">
        <v>0</v>
      </c>
      <c r="G264" s="67">
        <v>620</v>
      </c>
    </row>
    <row r="265" spans="1:7" ht="12.75">
      <c r="A265" s="67">
        <v>947</v>
      </c>
      <c r="B265" s="68" t="s">
        <v>328</v>
      </c>
      <c r="C265" s="67">
        <v>971</v>
      </c>
      <c r="D265" s="381">
        <v>170</v>
      </c>
      <c r="E265" s="69">
        <v>0</v>
      </c>
      <c r="F265" s="67">
        <v>0</v>
      </c>
      <c r="G265" s="67">
        <v>155</v>
      </c>
    </row>
    <row r="266" spans="1:7" ht="12.75">
      <c r="A266" s="67">
        <v>951</v>
      </c>
      <c r="B266" s="68" t="s">
        <v>213</v>
      </c>
      <c r="C266" s="67">
        <v>1500</v>
      </c>
      <c r="D266" s="381">
        <v>101</v>
      </c>
      <c r="E266" s="69">
        <v>150</v>
      </c>
      <c r="F266" s="67">
        <v>0</v>
      </c>
      <c r="G266" s="67">
        <v>0</v>
      </c>
    </row>
    <row r="267" spans="1:7" ht="12.75">
      <c r="A267" s="67">
        <v>952</v>
      </c>
      <c r="B267" s="68" t="s">
        <v>329</v>
      </c>
      <c r="C267" s="67">
        <v>971</v>
      </c>
      <c r="D267" s="381">
        <v>170</v>
      </c>
      <c r="E267" s="69">
        <v>0</v>
      </c>
      <c r="F267" s="67">
        <v>0</v>
      </c>
      <c r="G267" s="67">
        <v>155</v>
      </c>
    </row>
    <row r="268" spans="1:7" ht="12.75">
      <c r="A268" s="67">
        <v>953</v>
      </c>
      <c r="B268" s="68" t="s">
        <v>330</v>
      </c>
      <c r="C268" s="67">
        <v>971</v>
      </c>
      <c r="D268" s="381">
        <v>170</v>
      </c>
      <c r="E268" s="69">
        <v>0</v>
      </c>
      <c r="F268" s="67">
        <v>0</v>
      </c>
      <c r="G268" s="67">
        <v>155</v>
      </c>
    </row>
    <row r="269" spans="1:7" ht="12.75">
      <c r="A269" s="67">
        <v>954</v>
      </c>
      <c r="B269" s="68" t="s">
        <v>331</v>
      </c>
      <c r="C269" s="67">
        <v>1600</v>
      </c>
      <c r="D269" s="381">
        <v>88</v>
      </c>
      <c r="E269" s="69">
        <v>0</v>
      </c>
      <c r="F269" s="67">
        <v>0</v>
      </c>
      <c r="G269" s="67">
        <v>657</v>
      </c>
    </row>
    <row r="270" spans="1:7" ht="12.75">
      <c r="A270" s="67">
        <v>955</v>
      </c>
      <c r="B270" s="68" t="s">
        <v>247</v>
      </c>
      <c r="C270" s="67">
        <v>971</v>
      </c>
      <c r="D270" s="381">
        <v>170</v>
      </c>
      <c r="E270" s="69">
        <v>0</v>
      </c>
      <c r="F270" s="67">
        <v>0</v>
      </c>
      <c r="G270" s="67">
        <v>0</v>
      </c>
    </row>
    <row r="271" spans="1:7" ht="12.75">
      <c r="A271" s="67">
        <v>956</v>
      </c>
      <c r="B271" s="68" t="s">
        <v>332</v>
      </c>
      <c r="C271" s="67">
        <v>1692</v>
      </c>
      <c r="D271" s="381">
        <v>76</v>
      </c>
      <c r="E271" s="69">
        <v>0</v>
      </c>
      <c r="F271" s="67">
        <v>0</v>
      </c>
      <c r="G271" s="67">
        <v>663</v>
      </c>
    </row>
    <row r="272" spans="1:7" ht="12.75">
      <c r="A272" s="67">
        <v>957</v>
      </c>
      <c r="B272" s="68" t="s">
        <v>333</v>
      </c>
      <c r="C272" s="67">
        <v>1700</v>
      </c>
      <c r="D272" s="381">
        <v>75</v>
      </c>
      <c r="E272" s="69">
        <v>0</v>
      </c>
      <c r="F272" s="67">
        <v>0</v>
      </c>
      <c r="G272" s="67">
        <v>0</v>
      </c>
    </row>
    <row r="273" spans="1:7" ht="12.75">
      <c r="A273" s="67">
        <v>958</v>
      </c>
      <c r="B273" s="68" t="s">
        <v>334</v>
      </c>
      <c r="C273" s="67">
        <v>2913</v>
      </c>
      <c r="D273" s="381">
        <v>0</v>
      </c>
      <c r="E273" s="69">
        <v>0</v>
      </c>
      <c r="F273" s="67">
        <v>0</v>
      </c>
      <c r="G273" s="67">
        <v>0</v>
      </c>
    </row>
    <row r="274" spans="1:7" ht="12.75">
      <c r="A274" s="67">
        <v>959</v>
      </c>
      <c r="B274" s="68" t="s">
        <v>335</v>
      </c>
      <c r="C274" s="67">
        <v>2220</v>
      </c>
      <c r="D274" s="381">
        <v>7</v>
      </c>
      <c r="E274" s="69">
        <v>0</v>
      </c>
      <c r="F274" s="67">
        <v>0</v>
      </c>
      <c r="G274" s="67">
        <v>0</v>
      </c>
    </row>
    <row r="275" spans="1:7" ht="12.75">
      <c r="A275" s="67">
        <v>960</v>
      </c>
      <c r="B275" s="68" t="s">
        <v>336</v>
      </c>
      <c r="C275" s="67">
        <v>1750</v>
      </c>
      <c r="D275" s="381">
        <v>68</v>
      </c>
      <c r="E275" s="69">
        <v>0</v>
      </c>
      <c r="F275" s="67">
        <v>0</v>
      </c>
      <c r="G275" s="67">
        <v>0</v>
      </c>
    </row>
    <row r="276" spans="1:7" ht="12.75">
      <c r="A276" s="67">
        <v>961</v>
      </c>
      <c r="B276" s="68" t="s">
        <v>337</v>
      </c>
      <c r="C276" s="67">
        <v>1580</v>
      </c>
      <c r="D276" s="381">
        <v>90</v>
      </c>
      <c r="E276" s="69">
        <v>0</v>
      </c>
      <c r="F276" s="67">
        <v>0</v>
      </c>
      <c r="G276" s="67">
        <v>0</v>
      </c>
    </row>
    <row r="277" spans="1:7" ht="12.75">
      <c r="A277" s="67">
        <v>962</v>
      </c>
      <c r="B277" s="68" t="s">
        <v>338</v>
      </c>
      <c r="C277" s="67">
        <v>1580</v>
      </c>
      <c r="D277" s="381">
        <v>90</v>
      </c>
      <c r="E277" s="69">
        <v>0</v>
      </c>
      <c r="F277" s="67">
        <v>0</v>
      </c>
      <c r="G277" s="67">
        <v>0</v>
      </c>
    </row>
    <row r="278" spans="1:7" ht="12.75">
      <c r="A278" s="67">
        <v>963</v>
      </c>
      <c r="B278" s="68" t="s">
        <v>339</v>
      </c>
      <c r="C278" s="67">
        <v>951</v>
      </c>
      <c r="D278" s="381">
        <v>173</v>
      </c>
      <c r="E278" s="69">
        <v>0</v>
      </c>
      <c r="F278" s="67">
        <v>0</v>
      </c>
      <c r="G278" s="67">
        <v>0</v>
      </c>
    </row>
    <row r="279" spans="1:7" ht="12.75">
      <c r="A279" s="67">
        <v>965</v>
      </c>
      <c r="B279" s="68" t="s">
        <v>340</v>
      </c>
      <c r="C279" s="67">
        <v>2913</v>
      </c>
      <c r="D279" s="381">
        <v>0</v>
      </c>
      <c r="E279" s="69">
        <v>0</v>
      </c>
      <c r="F279" s="67">
        <v>0</v>
      </c>
      <c r="G279" s="67">
        <v>0</v>
      </c>
    </row>
    <row r="280" spans="1:7" ht="12.75">
      <c r="A280" s="67">
        <v>966</v>
      </c>
      <c r="B280" s="68" t="s">
        <v>341</v>
      </c>
      <c r="C280" s="67">
        <v>1850</v>
      </c>
      <c r="D280" s="381">
        <v>55</v>
      </c>
      <c r="E280" s="69">
        <v>0</v>
      </c>
      <c r="F280" s="67">
        <v>0</v>
      </c>
      <c r="G280" s="67">
        <v>0</v>
      </c>
    </row>
    <row r="281" spans="1:7" ht="12.75">
      <c r="A281" s="67">
        <v>967</v>
      </c>
      <c r="B281" s="68" t="s">
        <v>342</v>
      </c>
      <c r="C281" s="67">
        <v>1564</v>
      </c>
      <c r="D281" s="381">
        <v>93</v>
      </c>
      <c r="E281" s="69">
        <v>0</v>
      </c>
      <c r="F281" s="67">
        <v>0</v>
      </c>
      <c r="G281" s="67">
        <v>0</v>
      </c>
    </row>
    <row r="282" spans="1:7" ht="12.75">
      <c r="A282" s="67">
        <v>968</v>
      </c>
      <c r="B282" s="68" t="s">
        <v>288</v>
      </c>
      <c r="C282" s="67">
        <v>1500</v>
      </c>
      <c r="D282" s="381">
        <v>101</v>
      </c>
      <c r="E282" s="69">
        <v>0</v>
      </c>
      <c r="F282" s="67">
        <v>0</v>
      </c>
      <c r="G282" s="67">
        <v>0</v>
      </c>
    </row>
    <row r="283" spans="1:7" ht="12.75">
      <c r="A283" s="67">
        <v>969</v>
      </c>
      <c r="B283" s="68" t="s">
        <v>343</v>
      </c>
      <c r="C283" s="67">
        <v>971</v>
      </c>
      <c r="D283" s="381">
        <v>170</v>
      </c>
      <c r="E283" s="69">
        <v>150</v>
      </c>
      <c r="F283" s="67">
        <v>0</v>
      </c>
      <c r="G283" s="67">
        <v>0</v>
      </c>
    </row>
    <row r="284" spans="1:7" ht="12.75">
      <c r="A284" s="67">
        <v>970</v>
      </c>
      <c r="B284" s="68" t="s">
        <v>344</v>
      </c>
      <c r="C284" s="67">
        <v>1480</v>
      </c>
      <c r="D284" s="381">
        <v>104</v>
      </c>
      <c r="E284" s="69">
        <v>0</v>
      </c>
      <c r="F284" s="67">
        <v>0</v>
      </c>
      <c r="G284" s="67">
        <v>0</v>
      </c>
    </row>
    <row r="285" spans="1:7" ht="12.75">
      <c r="A285" s="67">
        <v>971</v>
      </c>
      <c r="B285" s="68" t="s">
        <v>345</v>
      </c>
      <c r="C285" s="67">
        <v>1400</v>
      </c>
      <c r="D285" s="381">
        <v>114</v>
      </c>
      <c r="E285" s="69">
        <v>150</v>
      </c>
      <c r="F285" s="67">
        <v>0</v>
      </c>
      <c r="G285" s="67">
        <v>0</v>
      </c>
    </row>
    <row r="286" spans="1:7" ht="12.75">
      <c r="A286" s="67">
        <v>972</v>
      </c>
      <c r="B286" s="68" t="s">
        <v>346</v>
      </c>
      <c r="C286" s="67">
        <v>1692</v>
      </c>
      <c r="D286" s="381">
        <v>76</v>
      </c>
      <c r="E286" s="69">
        <v>17</v>
      </c>
      <c r="F286" s="67">
        <v>0</v>
      </c>
      <c r="G286" s="67">
        <v>0</v>
      </c>
    </row>
    <row r="287" spans="1:7" ht="12.75">
      <c r="A287" s="67">
        <v>973</v>
      </c>
      <c r="B287" s="68" t="s">
        <v>347</v>
      </c>
      <c r="C287" s="67">
        <v>1592</v>
      </c>
      <c r="D287" s="381">
        <v>89</v>
      </c>
      <c r="E287" s="69">
        <v>17</v>
      </c>
      <c r="F287" s="67">
        <v>0</v>
      </c>
      <c r="G287" s="67">
        <v>0</v>
      </c>
    </row>
    <row r="288" spans="1:7" ht="12.75">
      <c r="A288" s="67">
        <v>974</v>
      </c>
      <c r="B288" s="68" t="s">
        <v>348</v>
      </c>
      <c r="C288" s="67">
        <v>1500</v>
      </c>
      <c r="D288" s="381">
        <v>101</v>
      </c>
      <c r="E288" s="69">
        <v>150</v>
      </c>
      <c r="F288" s="67">
        <v>0</v>
      </c>
      <c r="G288" s="67">
        <v>0</v>
      </c>
    </row>
    <row r="289" spans="1:7" ht="12.75">
      <c r="A289" s="67">
        <v>975</v>
      </c>
      <c r="B289" s="68" t="s">
        <v>349</v>
      </c>
      <c r="C289" s="67">
        <v>971</v>
      </c>
      <c r="D289" s="381">
        <v>170</v>
      </c>
      <c r="E289" s="69">
        <v>0</v>
      </c>
      <c r="F289" s="67">
        <v>0</v>
      </c>
      <c r="G289" s="67">
        <v>0</v>
      </c>
    </row>
    <row r="290" spans="1:7" ht="12.75">
      <c r="A290" s="67">
        <v>976</v>
      </c>
      <c r="B290" s="68" t="s">
        <v>350</v>
      </c>
      <c r="C290" s="67">
        <v>971</v>
      </c>
      <c r="D290" s="381">
        <v>170</v>
      </c>
      <c r="E290" s="69">
        <v>0</v>
      </c>
      <c r="F290" s="67">
        <v>0</v>
      </c>
      <c r="G290" s="67">
        <v>0</v>
      </c>
    </row>
    <row r="291" spans="1:7" ht="12.75">
      <c r="A291" s="67">
        <v>977</v>
      </c>
      <c r="B291" s="68" t="s">
        <v>351</v>
      </c>
      <c r="C291" s="67">
        <v>971</v>
      </c>
      <c r="D291" s="381">
        <v>170</v>
      </c>
      <c r="E291" s="69">
        <v>0</v>
      </c>
      <c r="F291" s="67">
        <v>0</v>
      </c>
      <c r="G291" s="67">
        <v>0</v>
      </c>
    </row>
    <row r="292" spans="1:7" ht="12.75">
      <c r="A292" s="67">
        <v>978</v>
      </c>
      <c r="B292" s="68" t="s">
        <v>352</v>
      </c>
      <c r="C292" s="67">
        <v>1840</v>
      </c>
      <c r="D292" s="381">
        <v>57</v>
      </c>
      <c r="E292" s="69">
        <v>0</v>
      </c>
      <c r="F292" s="67">
        <v>0</v>
      </c>
      <c r="G292" s="67">
        <v>0</v>
      </c>
    </row>
    <row r="293" spans="1:7" ht="12.75">
      <c r="A293" s="67">
        <v>979</v>
      </c>
      <c r="B293" s="68" t="s">
        <v>353</v>
      </c>
      <c r="C293" s="67">
        <v>1740</v>
      </c>
      <c r="D293" s="381">
        <v>70</v>
      </c>
      <c r="E293" s="69">
        <v>0</v>
      </c>
      <c r="F293" s="67">
        <v>0</v>
      </c>
      <c r="G293" s="67">
        <v>0</v>
      </c>
    </row>
    <row r="294" spans="1:7" ht="12.75">
      <c r="A294" s="67">
        <v>980</v>
      </c>
      <c r="B294" s="68" t="s">
        <v>354</v>
      </c>
      <c r="C294" s="67">
        <v>574</v>
      </c>
      <c r="D294" s="381">
        <v>222</v>
      </c>
      <c r="E294" s="69">
        <v>0</v>
      </c>
      <c r="F294" s="67">
        <v>0</v>
      </c>
      <c r="G294" s="67">
        <v>0</v>
      </c>
    </row>
    <row r="295" spans="1:7" ht="12.75">
      <c r="A295" s="67">
        <v>981</v>
      </c>
      <c r="B295" s="68" t="s">
        <v>355</v>
      </c>
      <c r="C295" s="67">
        <v>1782</v>
      </c>
      <c r="D295" s="381">
        <v>64</v>
      </c>
      <c r="E295" s="69">
        <v>0</v>
      </c>
      <c r="F295" s="67">
        <v>0</v>
      </c>
      <c r="G295" s="67">
        <v>0</v>
      </c>
    </row>
    <row r="296" spans="1:7" ht="12.75">
      <c r="A296" s="67">
        <v>982</v>
      </c>
      <c r="B296" s="68" t="s">
        <v>356</v>
      </c>
      <c r="C296" s="67">
        <v>1740</v>
      </c>
      <c r="D296" s="381">
        <v>70</v>
      </c>
      <c r="E296" s="69">
        <v>0</v>
      </c>
      <c r="F296" s="67">
        <v>0</v>
      </c>
      <c r="G296" s="67">
        <v>0</v>
      </c>
    </row>
    <row r="297" spans="1:7" ht="12.75">
      <c r="A297" s="67">
        <v>983</v>
      </c>
      <c r="B297" s="68" t="s">
        <v>357</v>
      </c>
      <c r="C297" s="67">
        <v>1170</v>
      </c>
      <c r="D297" s="381">
        <v>144</v>
      </c>
      <c r="E297" s="69">
        <v>0</v>
      </c>
      <c r="F297" s="67">
        <v>0</v>
      </c>
      <c r="G297" s="67">
        <v>0</v>
      </c>
    </row>
    <row r="298" spans="1:7" ht="12.75">
      <c r="A298" s="67">
        <v>984</v>
      </c>
      <c r="B298" s="68" t="s">
        <v>358</v>
      </c>
      <c r="C298" s="67">
        <v>690</v>
      </c>
      <c r="D298" s="381">
        <v>207</v>
      </c>
      <c r="E298" s="69">
        <v>0</v>
      </c>
      <c r="F298" s="67">
        <v>0</v>
      </c>
      <c r="G298" s="67">
        <v>0</v>
      </c>
    </row>
    <row r="299" spans="1:7" ht="12.75">
      <c r="A299" s="67">
        <v>985</v>
      </c>
      <c r="B299" s="68" t="s">
        <v>359</v>
      </c>
      <c r="C299" s="67">
        <v>2913</v>
      </c>
      <c r="D299" s="381">
        <v>0</v>
      </c>
      <c r="E299" s="69">
        <v>0</v>
      </c>
      <c r="F299" s="67">
        <v>0</v>
      </c>
      <c r="G299" s="67">
        <v>0</v>
      </c>
    </row>
    <row r="300" spans="1:7" ht="12.75">
      <c r="A300" s="67">
        <v>986</v>
      </c>
      <c r="B300" s="68" t="s">
        <v>360</v>
      </c>
      <c r="C300" s="67">
        <v>644</v>
      </c>
      <c r="D300" s="381">
        <v>213</v>
      </c>
      <c r="E300" s="69">
        <v>0</v>
      </c>
      <c r="F300" s="67">
        <v>0</v>
      </c>
      <c r="G300" s="67">
        <v>0</v>
      </c>
    </row>
    <row r="301" spans="1:7" ht="12.75">
      <c r="A301" s="67">
        <v>987</v>
      </c>
      <c r="B301" s="68" t="s">
        <v>202</v>
      </c>
      <c r="C301" s="67">
        <v>1170</v>
      </c>
      <c r="D301" s="381">
        <v>144</v>
      </c>
      <c r="E301" s="69">
        <v>0</v>
      </c>
      <c r="F301" s="67">
        <v>0</v>
      </c>
      <c r="G301" s="67">
        <v>0</v>
      </c>
    </row>
    <row r="302" spans="1:7" ht="12.75">
      <c r="A302" s="67">
        <v>988</v>
      </c>
      <c r="B302" s="68" t="s">
        <v>361</v>
      </c>
      <c r="C302" s="67">
        <v>2600</v>
      </c>
      <c r="D302" s="381">
        <v>0</v>
      </c>
      <c r="E302" s="69">
        <v>0</v>
      </c>
      <c r="F302" s="67">
        <v>0</v>
      </c>
      <c r="G302" s="67">
        <v>0</v>
      </c>
    </row>
    <row r="303" spans="1:7" ht="12.75">
      <c r="A303" s="67">
        <v>989</v>
      </c>
      <c r="B303" s="68" t="s">
        <v>362</v>
      </c>
      <c r="C303" s="67">
        <v>2840</v>
      </c>
      <c r="D303" s="381">
        <v>0</v>
      </c>
      <c r="E303" s="69">
        <v>0</v>
      </c>
      <c r="F303" s="67">
        <v>0</v>
      </c>
      <c r="G303" s="67">
        <v>0</v>
      </c>
    </row>
    <row r="304" spans="1:7" ht="12.75">
      <c r="A304" s="67">
        <v>990</v>
      </c>
      <c r="B304" s="68" t="s">
        <v>363</v>
      </c>
      <c r="C304" s="67">
        <v>2100</v>
      </c>
      <c r="D304" s="381">
        <v>23</v>
      </c>
      <c r="E304" s="69">
        <v>0</v>
      </c>
      <c r="F304" s="67">
        <v>0</v>
      </c>
      <c r="G304" s="67">
        <v>0</v>
      </c>
    </row>
    <row r="305" spans="1:7" ht="12.75">
      <c r="A305" s="67">
        <v>991</v>
      </c>
      <c r="B305" s="68" t="s">
        <v>364</v>
      </c>
      <c r="C305" s="67">
        <v>1850</v>
      </c>
      <c r="D305" s="381">
        <v>55</v>
      </c>
      <c r="E305" s="69">
        <v>0</v>
      </c>
      <c r="F305" s="67">
        <v>0</v>
      </c>
      <c r="G305" s="67">
        <v>0</v>
      </c>
    </row>
    <row r="306" spans="1:7" ht="12.75">
      <c r="A306" s="67">
        <v>992</v>
      </c>
      <c r="B306" s="68" t="s">
        <v>365</v>
      </c>
      <c r="C306" s="67">
        <v>2840</v>
      </c>
      <c r="D306" s="381">
        <v>0</v>
      </c>
      <c r="E306" s="69">
        <v>0</v>
      </c>
      <c r="F306" s="67">
        <v>0</v>
      </c>
      <c r="G306" s="67">
        <v>0</v>
      </c>
    </row>
    <row r="307" spans="1:7" ht="12.75">
      <c r="A307" s="67">
        <v>993</v>
      </c>
      <c r="B307" s="68" t="s">
        <v>366</v>
      </c>
      <c r="C307" s="67">
        <v>2913</v>
      </c>
      <c r="D307" s="381">
        <v>0</v>
      </c>
      <c r="E307" s="69">
        <v>0</v>
      </c>
      <c r="F307" s="67">
        <v>0</v>
      </c>
      <c r="G307" s="67">
        <v>0</v>
      </c>
    </row>
    <row r="308" spans="1:7" ht="12.75">
      <c r="A308" s="67">
        <v>994</v>
      </c>
      <c r="B308" s="68" t="s">
        <v>367</v>
      </c>
      <c r="C308" s="67">
        <v>1580</v>
      </c>
      <c r="D308" s="381">
        <v>90</v>
      </c>
      <c r="E308" s="69">
        <v>0</v>
      </c>
      <c r="F308" s="67">
        <v>0</v>
      </c>
      <c r="G308" s="67">
        <v>0</v>
      </c>
    </row>
    <row r="309" spans="1:7" ht="12.75">
      <c r="A309" s="67">
        <v>995</v>
      </c>
      <c r="B309" s="68" t="s">
        <v>368</v>
      </c>
      <c r="C309" s="67">
        <v>1564</v>
      </c>
      <c r="D309" s="381">
        <v>93</v>
      </c>
      <c r="E309" s="69">
        <v>0</v>
      </c>
      <c r="F309" s="67">
        <v>0</v>
      </c>
      <c r="G309" s="67">
        <v>0</v>
      </c>
    </row>
    <row r="310" spans="1:7" ht="12.75">
      <c r="A310" s="67">
        <v>996</v>
      </c>
      <c r="B310" s="68" t="s">
        <v>105</v>
      </c>
      <c r="C310" s="67">
        <v>1480</v>
      </c>
      <c r="D310" s="381">
        <v>104</v>
      </c>
      <c r="E310" s="69">
        <v>0</v>
      </c>
      <c r="F310" s="67">
        <v>0</v>
      </c>
      <c r="G310" s="67">
        <v>0</v>
      </c>
    </row>
    <row r="311" spans="1:7" ht="12.75">
      <c r="A311" s="67">
        <v>997</v>
      </c>
      <c r="B311" s="68" t="s">
        <v>369</v>
      </c>
      <c r="C311" s="67">
        <v>1564</v>
      </c>
      <c r="D311" s="381">
        <v>93</v>
      </c>
      <c r="E311" s="69">
        <v>0</v>
      </c>
      <c r="F311" s="67">
        <v>0</v>
      </c>
      <c r="G311" s="67">
        <v>0</v>
      </c>
    </row>
    <row r="312" spans="1:7" ht="12.75">
      <c r="A312" s="67">
        <v>998</v>
      </c>
      <c r="B312" s="68" t="s">
        <v>370</v>
      </c>
      <c r="C312" s="67">
        <v>2220</v>
      </c>
      <c r="D312" s="381">
        <v>7</v>
      </c>
      <c r="E312" s="69">
        <v>0</v>
      </c>
      <c r="F312" s="67">
        <v>0</v>
      </c>
      <c r="G312" s="67">
        <v>0</v>
      </c>
    </row>
    <row r="313" spans="1:7" ht="12.75">
      <c r="A313" s="67">
        <v>999</v>
      </c>
      <c r="B313" s="68" t="s">
        <v>371</v>
      </c>
      <c r="C313" s="67">
        <v>3146</v>
      </c>
      <c r="D313" s="381">
        <v>0</v>
      </c>
      <c r="E313" s="69">
        <v>0</v>
      </c>
      <c r="F313" s="67">
        <v>0</v>
      </c>
      <c r="G313" s="67">
        <v>0</v>
      </c>
    </row>
    <row r="314" spans="1:7" ht="13.5" thickBot="1">
      <c r="A314" s="67">
        <v>666</v>
      </c>
      <c r="B314" s="68" t="s">
        <v>372</v>
      </c>
      <c r="C314" s="67" t="s">
        <v>373</v>
      </c>
      <c r="D314" s="381">
        <v>0</v>
      </c>
      <c r="E314" s="80">
        <v>0</v>
      </c>
      <c r="F314" s="81">
        <v>0</v>
      </c>
      <c r="G314" s="81">
        <v>0</v>
      </c>
    </row>
  </sheetData>
  <sheetProtection password="C9B5" sheet="1" objects="1" scenarios="1"/>
  <hyperlinks>
    <hyperlink ref="B1" location="'recibo de sueldo'!A1" display="Volver al simulador"/>
  </hyperlinks>
  <printOptions/>
  <pageMargins left="0.75" right="0.75" top="1" bottom="1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AGMER Uruguay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Víctor Hugo Hutt</dc:creator>
  <cp:keywords/>
  <dc:description/>
  <cp:lastModifiedBy>vicky</cp:lastModifiedBy>
  <cp:lastPrinted>2006-02-19T15:20:42Z</cp:lastPrinted>
  <dcterms:created xsi:type="dcterms:W3CDTF">2005-08-01T16:16:18Z</dcterms:created>
  <dcterms:modified xsi:type="dcterms:W3CDTF">2017-08-01T19:59:48Z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